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65326" windowWidth="12120" windowHeight="8100" tabRatio="778" activeTab="0"/>
  </bookViews>
  <sheets>
    <sheet name="questionnaire" sheetId="1" r:id="rId1"/>
    <sheet name="liste améliorations" sheetId="2" r:id="rId2"/>
    <sheet name="liens Q R" sheetId="3" state="hidden" r:id="rId3"/>
    <sheet name="calcul" sheetId="4" state="hidden" r:id="rId4"/>
  </sheets>
  <externalReferences>
    <externalReference r:id="rId7"/>
  </externalReferences>
  <definedNames>
    <definedName name="Ameliorations_gestion_chauffBNC">'[1]liste améliorations'!$H$64:$H$85</definedName>
    <definedName name="Ameliorations_maintenance_regulation">'liste améliorations'!$H$57:$H$74</definedName>
    <definedName name="Ameliorations_rendem_chaudiereBNC">'[1]liste améliorations'!$H$7:$H$19</definedName>
    <definedName name="Ameliorations_rendement_chaudiere">'liste améliorations'!$H$7:$H$19</definedName>
    <definedName name="Ameliorations_reseau_emission">'liste améliorations'!$H$33:$H$40</definedName>
    <definedName name="Choix_fréquence" localSheetId="1">'liste améliorations'!#REF!</definedName>
    <definedName name="Choix_fréquence">'calcul'!$AM$7:$AM$9</definedName>
    <definedName name="_xlnm.Print_Area" localSheetId="3">'calcul'!$A$4:$G$52</definedName>
    <definedName name="_xlnm.Print_Area" localSheetId="2">'liens Q R'!$A$2:$I$184</definedName>
    <definedName name="_xlnm.Print_Area" localSheetId="1">'liste améliorations'!$A$1:$E$86</definedName>
    <definedName name="_xlnm.Print_Area" localSheetId="0">'questionnaire'!$B$1:$AA$416</definedName>
  </definedNames>
  <calcPr fullCalcOnLoad="1"/>
</workbook>
</file>

<file path=xl/sharedStrings.xml><?xml version="1.0" encoding="utf-8"?>
<sst xmlns="http://schemas.openxmlformats.org/spreadsheetml/2006/main" count="378" uniqueCount="249">
  <si>
    <t>Impact</t>
  </si>
  <si>
    <t>x Rentabilité</t>
  </si>
  <si>
    <t>x Fréquence</t>
  </si>
  <si>
    <t>= Priorité</t>
  </si>
  <si>
    <t>l</t>
  </si>
  <si>
    <t>Choix fréquence</t>
  </si>
  <si>
    <t>Tri (° place)</t>
  </si>
  <si>
    <t>Audit énergétique de l'installation de chauffage</t>
  </si>
  <si>
    <t>Production d'eau chaude</t>
  </si>
  <si>
    <t>Gestion</t>
  </si>
  <si>
    <t xml:space="preserve">Remplacer le brûleur </t>
  </si>
  <si>
    <t>Remplacer la chaudière et le brûleur</t>
  </si>
  <si>
    <t>AMELIORER LE RENDEMENT DE LA CHAUDIERE</t>
  </si>
  <si>
    <t>Équilibrer le réseau hydraulique</t>
  </si>
  <si>
    <t>Réguler l'aquastat pour qu'en été, en dehors des périodes de préparation de l'eau chaude sanitaire, la température de la chaudière retombe à 20°C</t>
  </si>
  <si>
    <t>-</t>
  </si>
  <si>
    <t>…2%...</t>
  </si>
  <si>
    <t>15 à 30 %</t>
  </si>
  <si>
    <t>S'il existe des besoins de chaleur et d'électricité continus et simultanés, sont-ils valorisés par une installation de cogénération ?</t>
  </si>
  <si>
    <t>Etudier la faisabilité de la cogénération</t>
  </si>
  <si>
    <t>Isolation des chaudières</t>
  </si>
  <si>
    <t>Distribution d'eau chaude et émission</t>
  </si>
  <si>
    <t>Réseau</t>
  </si>
  <si>
    <t>Isoler les conduites (ainsi que les vannes) dans les locaux non chauffés en permanence (gaines techniques, faux-plafonds, …)</t>
  </si>
  <si>
    <t>Isoler les vannes situées sur les conduites isolées</t>
  </si>
  <si>
    <t>Maintenance</t>
  </si>
  <si>
    <t>(circuits séparés en fonction de l'orientation et de l'usage des locaux : horaires d'utilisation, température de consigne, etc.)</t>
  </si>
  <si>
    <t>Les radiateurs sont-ils équipés de vannes thermostatiques ?</t>
  </si>
  <si>
    <t>Régler le régulateur de tirage</t>
  </si>
  <si>
    <t>la pompe de circulation est-elle à vitesse variable ?</t>
  </si>
  <si>
    <t xml:space="preserve">(contrôle périodique de la combustion) </t>
  </si>
  <si>
    <t>Régulation…en temps</t>
  </si>
  <si>
    <t>Le nombre de jours programmables des horloges correspond-il au mode d'occupation des locaux ?</t>
  </si>
  <si>
    <t>(peut-on faire une programmation différente un jour de semaine et le week-end, peut-on programmer à l'avance les journées de congé, …?)</t>
  </si>
  <si>
    <t>Régulation…en intensité</t>
  </si>
  <si>
    <t xml:space="preserve">(la chaudière ne doit pas rester en température haute sur son aquastat) </t>
  </si>
  <si>
    <t>Régulation…en lieu</t>
  </si>
  <si>
    <t>De l'eau est-elle régulièrement ajoutée au réseau ?</t>
  </si>
  <si>
    <t>(Signe d'une fuite de l'installation et, à terme, d'un risque de corrosion</t>
  </si>
  <si>
    <t>Chercher la cause de l'insuffisance d'eau, l'origine de la fuite</t>
  </si>
  <si>
    <t>Si oui,</t>
  </si>
  <si>
    <t>Amélioration de l'installation de chauffage</t>
  </si>
  <si>
    <t>1 à 0</t>
  </si>
  <si>
    <t xml:space="preserve">Le rendement de combustion est-il supérieur </t>
  </si>
  <si>
    <t>- à 88% s'il s'agit d'une ancienne chaudière ?</t>
  </si>
  <si>
    <t>- à 91% s'il s'agit d'une nouvelle chaudière ?</t>
  </si>
  <si>
    <t xml:space="preserve">Si non, </t>
  </si>
  <si>
    <t>Impact x rent</t>
  </si>
  <si>
    <t>AMELIORER LA MAINTENANCE ET LA REGULATION</t>
  </si>
  <si>
    <t>Améliorations de l'installation de chauffage</t>
  </si>
  <si>
    <t>Le corps de la chaudière est-il bien isolé ?</t>
  </si>
  <si>
    <t>(entièrement recouvert (pas de zone non isolé, comme la porte foyère, par exemple), épaisseur &gt;3 cm, panneaux isolants jointifs, épousant le corps de la chaudière)</t>
  </si>
  <si>
    <t>La jaquette est-elle froide au contact de la main (T° &lt; 35°C) ?</t>
  </si>
  <si>
    <t xml:space="preserve">Le clapet d'air du brûleur se referme-t-il à l'arrêt ? </t>
  </si>
  <si>
    <t>Puissance totale des brûleurs :</t>
  </si>
  <si>
    <t>Cette valeur est-elle</t>
  </si>
  <si>
    <t xml:space="preserve">Calculer le rapport </t>
  </si>
  <si>
    <t xml:space="preserve">consommation annuelle [litres fuel ou m³ gaz] x 10 / puissance des brûleurs [kW] </t>
  </si>
  <si>
    <t>(L'arrivée d'eau froide à la chaudière permet de valoriser la condensation)</t>
  </si>
  <si>
    <t>Les conduites traversant les locaux non chauffés en permanence (chaufferie, gaines techniques, faux-plafonds, …) sont-elles isolées ?</t>
  </si>
  <si>
    <t>Les vannes sont-elles également isolées ?</t>
  </si>
  <si>
    <t>x Occurrence</t>
  </si>
  <si>
    <t>Par grand froid (T° &lt; 0°C), la différence de température entre le départ et le retour des circuits est-elle &gt; 15°C?</t>
  </si>
  <si>
    <t>Si l'installation est équipée</t>
  </si>
  <si>
    <t>- de radiateurs avec vannes thermostatiques,</t>
  </si>
  <si>
    <t>- de de ventilo-convecteurs avec vannes 2 voies,</t>
  </si>
  <si>
    <t>- ou d'autres unités terminales à débit variable,</t>
  </si>
  <si>
    <t>Le circuit hydraulique est-il découpé par zones de besoins homogènes ?</t>
  </si>
  <si>
    <t>Les différents circuits ont-ils leur propre régulation ?</t>
  </si>
  <si>
    <t>Equiper les différents circuits d'une régulation indépendante.</t>
  </si>
  <si>
    <t>Sur un même cicuit, tous les locaux sont-ils chauffés de façon identique ?</t>
  </si>
  <si>
    <t xml:space="preserve">Si l'installation est composée de plusieurs chaudières, </t>
  </si>
  <si>
    <t>Le maintien en température de toutes les chaudières est-il évité ?</t>
  </si>
  <si>
    <t>Chaque chaudière est-elle équipée d'une vanne d'isolement motorisée ?</t>
  </si>
  <si>
    <t>les chaudières sont-elles régulées en cascade ?</t>
  </si>
  <si>
    <t>Améliorer la régulation en cascade</t>
  </si>
  <si>
    <t>Si les chaudières ont une puissance &gt; 150 kW,</t>
  </si>
  <si>
    <t xml:space="preserve">le brûleur est-il un brûleur 2 allures modulant ? </t>
  </si>
  <si>
    <t>la température de retour de l'eau vers la chaudière est le plus souvent &lt; 50°C ?</t>
  </si>
  <si>
    <t>Les brûleurs sont-ils contrôlés plusieurs fois par an ?</t>
  </si>
  <si>
    <t>Contrôler les brûleurs plusieurs fois par an</t>
  </si>
  <si>
    <t>Dimensionnement des pompes de circulation :</t>
  </si>
  <si>
    <t>La régulation du chauffage a-t-elle un programme de jour et un programme de nuit ?</t>
  </si>
  <si>
    <t>Régulation de la chaudière en été :</t>
  </si>
  <si>
    <t>Si elle n'est pas nécessaire à la préparation de l'eau chaude sanitaire, 
la chaudière est-elle arrêtée en été ?</t>
  </si>
  <si>
    <t>Si la chaudière est nécessaire à la préparation de l'eau chaude sanitaire, 
sa température retombe-t-elle à 20°C en dehors des périodes de préparation de l'eau chaude sanitaire  ?</t>
  </si>
  <si>
    <t>Le vase d'expansion sonne-t-il "creux" ?</t>
  </si>
  <si>
    <t>Amélioration</t>
  </si>
  <si>
    <t>Si non à une des 2 questions :</t>
  </si>
  <si>
    <t>non puis oui :</t>
  </si>
  <si>
    <t>non puis non :</t>
  </si>
  <si>
    <t>Rendement de la chaudière</t>
  </si>
  <si>
    <t>Réseau et émission</t>
  </si>
  <si>
    <t>Maintenance et régulation</t>
  </si>
  <si>
    <t>Améliorer le réseau hydraulique pour valoriser la chaudière à condensation</t>
  </si>
  <si>
    <t>Si oui puis non,</t>
  </si>
  <si>
    <t>Si oui puis non :</t>
  </si>
  <si>
    <t xml:space="preserve">Arrêter les circulateurs lorsqu'il n'y a pas de besoin de chauffage </t>
  </si>
  <si>
    <t>Adapter les horaires de la régulation aux horaires d'occupation réels du bâtiment</t>
  </si>
  <si>
    <t>Arrêter la chaudière en été</t>
  </si>
  <si>
    <t>Si la chaudière n'est pas nécessaire à la préparation de l'eau chaude sanitaire, 
est-elle arrêtée en été ?</t>
  </si>
  <si>
    <t>La chaudière est-elle à brûleur pulsé ?</t>
  </si>
  <si>
    <t>Existe-t-il un régulateur de tirage sur la cheminée ?</t>
  </si>
  <si>
    <t>Si oui, est-il correctement réglé ?</t>
  </si>
  <si>
    <t>Equiper les chaudières pour pouvoir piloter chaudières et brûleurs en cascade</t>
  </si>
  <si>
    <t>est-ce que la grande allure n'est réellement commandée qu'en fonction des besoins ?</t>
  </si>
  <si>
    <t>(parfois, la première allure ne sert qu'au démarrage, puis la seconde allure est permanente…)</t>
  </si>
  <si>
    <t xml:space="preserve">S'il y a une chaudière à condensation, </t>
  </si>
  <si>
    <t>Les circulateurs sont-ils arrêtés lorsqu'il n'y a pas de besoins de chauffage ?</t>
  </si>
  <si>
    <t>(en été, en coupure de nuit,etc., lorsque les vannes mélangeuses sont fermées)</t>
  </si>
  <si>
    <t>Equiper le départ des différents circuits de vannes d'équilibrage et les radiateurs/ventilo-convecteurs de tés de réglage, puis équilibrer l'installation.</t>
  </si>
  <si>
    <t>Placer des vannes thermostatiques dans les locaux où il y a surchauffe</t>
  </si>
  <si>
    <t>Remplacer le vase d'expansion</t>
  </si>
  <si>
    <t>Si oui à 14 et non à 13 :</t>
  </si>
  <si>
    <t>Si non à 13 et 14 :</t>
  </si>
  <si>
    <t>Cellule liée</t>
  </si>
  <si>
    <t>= Priorité Aff</t>
  </si>
  <si>
    <t xml:space="preserve">Placer un régulateur de tirage </t>
  </si>
  <si>
    <t xml:space="preserve">Colmater les inétanchéités de la chaudière (portes, entre éléments en fonte) </t>
  </si>
  <si>
    <t>Nettoyer la chaudière</t>
  </si>
  <si>
    <t>La chaudière est-elle exempte de traces d'inétanchéité à l'air ?</t>
  </si>
  <si>
    <t>Diminuer la puissance du brûleur existant (Mettre un gicleur de plus petit calibre)</t>
  </si>
  <si>
    <t>Si non à une des deux questions :</t>
  </si>
  <si>
    <t>Si "oui" 12 et "non" 12.1</t>
  </si>
  <si>
    <t xml:space="preserve">Vérifier les paramètres de régulation de la chaudière à condensation pour permettre la condensation (l'eau arrive froide à la chaudière) </t>
  </si>
  <si>
    <t>La puissance du brûleur est-elle inférieure à celle de la chaudière ?</t>
  </si>
  <si>
    <t>…1%... De la consommation de chauffage pour un suivi saisonnier du réglage</t>
  </si>
  <si>
    <t>0,5% à 2%</t>
  </si>
  <si>
    <t xml:space="preserve">perte de rendement de combustion de 4 à 8% pour 1 mm de suie sur la surface de l'échangeur </t>
  </si>
  <si>
    <t>Y a-t-il des vannes d'équilibrage au départ des différents circuits, et des tés de réglage sur les radiateurs et les ventilo-convecteurs ?</t>
  </si>
  <si>
    <t>Distribution d'eau chaude</t>
  </si>
  <si>
    <t>Y a-t-il des vannes d'équilibrage au départ des différents circuits, et des tés de réglage sur les radiateurs et ventilo-convecteurs ?</t>
  </si>
  <si>
    <t>&gt; 1 500 h pour une bâtiment ancien ?</t>
  </si>
  <si>
    <t xml:space="preserve"> &gt; 1 000 h pour un bâtiment récent et fort équipé ?</t>
  </si>
  <si>
    <t xml:space="preserve">Les cycles de fonctionnement du brûleur sont-ils longs ? </t>
  </si>
  <si>
    <t>(supérieurs à 4 min)</t>
  </si>
  <si>
    <t xml:space="preserve">le brûleur est-il soit un brûleur 2 allures ou soit un brûleur modulant ? </t>
  </si>
  <si>
    <t>Si non à 5 :</t>
  </si>
  <si>
    <t>Si oui à 5 et non à une des 2 sous-questions :</t>
  </si>
  <si>
    <t>(Bâtiments climatisés)</t>
  </si>
  <si>
    <t>La chaudière est-elle "propre" (pas encrassée) ?</t>
  </si>
  <si>
    <t>La chaudière et le brûleur ont-ils moins de 25 ans ?</t>
  </si>
  <si>
    <t>le brûleur date -t-il d'après 1985 ?</t>
  </si>
  <si>
    <t>Le maintien en température de toutes les chaudières durant la saison de chauffe est-il évité ?</t>
  </si>
  <si>
    <r>
      <t>La somme des puissances électriques des circulateurs est-elle inférieure à
2 °/。。</t>
    </r>
    <r>
      <rPr>
        <sz val="8"/>
        <rFont val="Arial Unicode MS"/>
        <family val="2"/>
      </rPr>
      <t xml:space="preserve"> </t>
    </r>
    <r>
      <rPr>
        <sz val="8"/>
        <rFont val="Verdana"/>
        <family val="2"/>
      </rPr>
      <t>de la puissance des chaudières ?</t>
    </r>
  </si>
  <si>
    <t>Les locaux en bout de circuit de chauffage sont-ils aussi bien chauffés que les autres ?</t>
  </si>
  <si>
    <t>Des locaux défavorisés (difficiles à chauffer) ou présentant de problèmes d'inconfort indiquent un problème d'équilibrage du réseau.</t>
  </si>
  <si>
    <t>Circulateurs</t>
  </si>
  <si>
    <t>Isolation des conduites</t>
  </si>
  <si>
    <t>le ralenti de nuit est-il contrôlé par une sonde d'ambiance ?</t>
  </si>
  <si>
    <t>Les radiateurs des locaux ensoleillés ou à forte occupation sont-ils équipés de vannes thermostatiques ?</t>
  </si>
  <si>
    <t xml:space="preserve">La température ambiante de consigne en chauffage est-elle respectée ? </t>
  </si>
  <si>
    <t>Jusqu'à 15%</t>
  </si>
  <si>
    <t>3%... 10%</t>
  </si>
  <si>
    <t>1... 3%</t>
  </si>
  <si>
    <t>Réisoler la chaudière, et par la suite, envisager son remplacement</t>
  </si>
  <si>
    <t>2 à 5%</t>
  </si>
  <si>
    <t>…1%...</t>
  </si>
  <si>
    <t xml:space="preserve">…1%... </t>
  </si>
  <si>
    <t>Corriger le raccordement électrique du brûleur ou débloquer le clapet pour qu'il se ferme</t>
  </si>
  <si>
    <t>AMELIORER LA DISTRIBUTION</t>
  </si>
  <si>
    <t>90% des pertes de la conduite</t>
  </si>
  <si>
    <t>90% des pertes de la vanne</t>
  </si>
  <si>
    <t>Réduire de vitesse les circulateurs à plusieurs vitesses</t>
  </si>
  <si>
    <t>Remplacer les circulateurs existants par des circulateurs à vitesse variable</t>
  </si>
  <si>
    <t>40 … 50% de la consommation du circulateur</t>
  </si>
  <si>
    <t>Amélioration du confort, l'économie dépend de l'importance de la surchauffe globale pour essayer de satisfaire les occupants des locaux mal chauffés (1°C de trop…7 à 8% de surconsommation)</t>
  </si>
  <si>
    <t>… 6...% de la consommation de chauffage</t>
  </si>
  <si>
    <t>Arrêter l'installation de chauffage la nuit et le week-end</t>
  </si>
  <si>
    <t>Pratiquer un ralenti par coupure complète de l'installation, contrôlée par thermostat d'ambiance</t>
  </si>
  <si>
    <t>5…15 %</t>
  </si>
  <si>
    <t>Remplacer l'horloge afin de pouvoir programmer le fonctionnement de l'installation conformément à l'utilisation du bâtiment (en fonction du jour de la semaine, des jours de congé,…)</t>
  </si>
  <si>
    <t>5 ... 15 %</t>
  </si>
  <si>
    <t>50 % de la consommation des circulateurs</t>
  </si>
  <si>
    <t>… 6 ...%</t>
  </si>
  <si>
    <t>Placer un thermostat d'ambiance de compensation</t>
  </si>
  <si>
    <t>1°C de trop…7 à 8% de surconsommation</t>
  </si>
  <si>
    <t>… 5% … si l'installation est coupée 14h00 au lieu de 12h00</t>
  </si>
  <si>
    <t xml:space="preserve">Corriger le réglage des courbes de chauffe </t>
  </si>
  <si>
    <t>Mettre une chaudière à l'arrêt</t>
  </si>
  <si>
    <t>Si non à 1,</t>
  </si>
  <si>
    <t>Si non à 1, et non à 1.1 :</t>
  </si>
  <si>
    <t>Si non à 1, et non à 1.2 :</t>
  </si>
  <si>
    <t>Si non à 1, et oui à 1.2, et non à 1.3 :</t>
  </si>
  <si>
    <t>Si non à 1, et non à 1.4 :</t>
  </si>
  <si>
    <t>Si non à 1, et non à 1.5 :</t>
  </si>
  <si>
    <t>et si non à 1.1,ou 1.2, ou 1.3, ou 1.4, ou 1.6,</t>
  </si>
  <si>
    <t>Si non à 1, et non à 1.6 :</t>
  </si>
  <si>
    <t>et si oui à 1.1, 1.2, 1.3, 1.4 et 1.6,</t>
  </si>
  <si>
    <t>Si "non" à Q0, ou si ("non" à Q1 et "oui" aux Q 1.1, 1.2, 1.3, 1.4 et 1.6), ou si ("non" à Q1 et à Q1.5)</t>
  </si>
  <si>
    <t>Occurrence</t>
  </si>
  <si>
    <t>Si "non" à Q 1.6, ou Q 4.1 ou Q 4.2</t>
  </si>
  <si>
    <t>Si non à Q1 et non à soit Q 1.1, Q1.2, Q1.3,Q1.4 ou Q 1.6</t>
  </si>
  <si>
    <t>Si le rendement reste inférieur à 88% après avoir effectué les améliorations possibles (colmaté et nettoyé la chaudière, régulé le tirage, diminué la puissance du brûleur), remplacer la chaudière et le brûleur</t>
  </si>
  <si>
    <t>Si "non" à Q3 et "oui" à Q 3.1</t>
  </si>
  <si>
    <t>Si non 6.1 :</t>
  </si>
  <si>
    <t>Si oui 6.1 et non 6.2</t>
  </si>
  <si>
    <t>Si soit ("non" aux Q 3 et 3.1), soit ("non" à Q 6.1), soit ("oui" à Q 6.1 et "non" à Q 6.2) (fréquence = max des fréquences de ces questions)
Fréquence = 0.05 si soit (Q.3 = "non" ou "?"  et Q.3.1 = "non" ou "?"), soit Q 6.1 = "?", soit (Q.6.1 = "oui" et Q6.2 = "?")</t>
  </si>
  <si>
    <t>Adapter le découpage du réseau aux besoins des locaux</t>
  </si>
  <si>
    <t>Si oui à 15 :</t>
  </si>
  <si>
    <t>Si "non" à Q 10.1 ou 10.2</t>
  </si>
  <si>
    <t>Si "oui" à Q 9.1 et "non"à Q 9.2</t>
  </si>
  <si>
    <t>Si "non" à Q 10.1 ou 10.2 ou 11</t>
  </si>
  <si>
    <t xml:space="preserve">Si "oui" à Q 14 et "non" à Q 13 </t>
  </si>
  <si>
    <t>Si "non" aux Q 13 et 14</t>
  </si>
  <si>
    <t>AMELIORER LA GESTION ET LA MAINTENANCE</t>
  </si>
  <si>
    <t>Si soit ("non" à Q 4.1 ou 4.2), soit ("oui" 5 et "non" à 5.1 ou 5.2), soit ( "oui" 6.1 et "non" 6.2)</t>
  </si>
  <si>
    <t>Si "non" à Q 4.1 ou 4.2)</t>
  </si>
  <si>
    <t>Si "non" Q 15</t>
  </si>
  <si>
    <t>Si oui Q 15 et non à Q 15.1 :</t>
  </si>
  <si>
    <t>Si oui Q 15 et non à Q 15.2 :</t>
  </si>
  <si>
    <t>Les horaires appliqués correspondent-ils réellement à l'occupation ?</t>
  </si>
  <si>
    <t>Si oui Q 15 et non à Q 15.3 :</t>
  </si>
  <si>
    <t>Si "oui" 15 et "non" 15.1</t>
  </si>
  <si>
    <t>Si "oui" 15 et "non" 15.3</t>
  </si>
  <si>
    <t>Si "non" à Q 18 ou Q 19</t>
  </si>
  <si>
    <t>Si non à Q1 et soit "non", soit "?" aux Q 1.1, 1.2, 1.3, 1.4, 1.6 :</t>
  </si>
  <si>
    <t>Si "non" à Q 1et soit "non", soit "?" aux Q 1.1, 1.2, 1.3, 1.4 et 1.6</t>
  </si>
  <si>
    <t xml:space="preserve">  </t>
  </si>
  <si>
    <t xml:space="preserve">   </t>
  </si>
  <si>
    <t>Nombre de questions cochées :</t>
  </si>
  <si>
    <t>Nombre de questions à cocher :</t>
  </si>
  <si>
    <t>Nombre de questions non cochées :</t>
  </si>
  <si>
    <t>Tests :</t>
  </si>
  <si>
    <t>Nombres de questions avec réponse "non" et sans occurrence :</t>
  </si>
  <si>
    <t>sur réponses</t>
  </si>
  <si>
    <t>sur occurrence</t>
  </si>
  <si>
    <t>Si "oui" à Q 1.2 et "non" à Q 1.3</t>
  </si>
  <si>
    <t>Si "oui" 15 et "non" 15.2</t>
  </si>
  <si>
    <t>Si la chaudière est nécessaire à la préparation de l'eau chaude sanitaire, 
et si le réseau et la chaudière sont à très basse température ou à condensation,
sa température retombe-t-elle à 20°C en dehors des périodes de préparation de l'eau chaude sanitaire  ?</t>
  </si>
  <si>
    <t>&gt; 1 000 h pour un bâtiment récent et fort équipé ?</t>
  </si>
  <si>
    <t>?? À éclaircir</t>
  </si>
  <si>
    <t>AMELIORER LA DISTRIBUTION ET L'EMISSION</t>
  </si>
  <si>
    <t>La chaudière est-elle munie d'un brûleur à air pulsé ou d'un ventilateur d'extraction sur les fumées ?</t>
  </si>
  <si>
    <t>(Le foyer est-il étanche lors de l'arrêt ?)</t>
  </si>
  <si>
    <t>(fumées noires, rouille le long de la jaquette)</t>
  </si>
  <si>
    <t>(Une dépression dans la buse de cheminée (mentionnée dans la fiche d'entretien) &gt; 20 Pa est un indice de tirage trop important.)</t>
  </si>
  <si>
    <t>(entretien régulier)</t>
  </si>
  <si>
    <t xml:space="preserve">Voir les puissances sur la fiche d'entretien. A défaut, un indice pour repérer un brûleur dont la puissance est peut-être supérieure à celle de la chaudière : la flamme tape trop fort au fond. </t>
  </si>
  <si>
    <t>Remarque : la question ne se pose pas pour les chaudières atmosphériques.</t>
  </si>
  <si>
    <t>(ou circulateur propre + clapet anti-retour)</t>
  </si>
  <si>
    <t>… 40...% de la consommation électrique des circulateurs</t>
  </si>
  <si>
    <t>Améliorer le réglage du brûleur : Régler le registre d'air et la tête de combustion</t>
  </si>
  <si>
    <t>15 à 20 % d'économie potentielle sur l'énergie primaire totale de fonctionnement du bâtiment - Jusqu'à 50% d'économie sur la facture électrique. Rentabilité faible pour des bureaux et élevée pour les hôpitaux</t>
  </si>
  <si>
    <t>Evite un manque d'eau entraînant un mauvais fonctionnement, ou un ajout d'eau trop fréquent</t>
  </si>
  <si>
    <t xml:space="preserve">Evite l'ajout d'eau trop fréquent dans la chaudière, entraînant une détérioration par corrosion de l'installation et une surconsommation due à l'entartrage  </t>
  </si>
  <si>
    <t>(Un dépassement de la température de consigne entraîne une surconsommation)</t>
  </si>
  <si>
    <t>- de ventilo-convecteurs avec vannes 2 voies,</t>
  </si>
  <si>
    <t>Si les circulateurs ne sont pas à vitesse variable</t>
  </si>
</sst>
</file>

<file path=xl/styles.xml><?xml version="1.0" encoding="utf-8"?>
<styleSheet xmlns="http://schemas.openxmlformats.org/spreadsheetml/2006/main">
  <numFmts count="19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</numFmts>
  <fonts count="66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20"/>
      <color indexed="63"/>
      <name val="Verdana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Wingdings"/>
      <family val="0"/>
    </font>
    <font>
      <sz val="10"/>
      <name val="Comic Sans MS"/>
      <family val="4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5"/>
      <name val="Arial"/>
      <family val="0"/>
    </font>
    <font>
      <sz val="8"/>
      <color indexed="12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16"/>
      <name val="Verdana"/>
      <family val="2"/>
    </font>
    <font>
      <b/>
      <sz val="18"/>
      <name val="Verdana"/>
      <family val="2"/>
    </font>
    <font>
      <sz val="14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i/>
      <sz val="10"/>
      <name val="Arial"/>
      <family val="0"/>
    </font>
    <font>
      <sz val="16"/>
      <name val="Verdana"/>
      <family val="2"/>
    </font>
    <font>
      <b/>
      <sz val="13"/>
      <name val="Verdana"/>
      <family val="2"/>
    </font>
    <font>
      <b/>
      <i/>
      <sz val="11"/>
      <name val="Verdana"/>
      <family val="2"/>
    </font>
    <font>
      <i/>
      <sz val="8"/>
      <name val="Verdana"/>
      <family val="2"/>
    </font>
    <font>
      <i/>
      <sz val="8"/>
      <name val="Arial"/>
      <family val="0"/>
    </font>
    <font>
      <sz val="8"/>
      <name val="Wingdings"/>
      <family val="0"/>
    </font>
    <font>
      <b/>
      <sz val="14"/>
      <color indexed="52"/>
      <name val="Arial Black"/>
      <family val="2"/>
    </font>
    <font>
      <sz val="9"/>
      <color indexed="10"/>
      <name val="Verdana"/>
      <family val="2"/>
    </font>
    <font>
      <b/>
      <sz val="9"/>
      <color indexed="57"/>
      <name val="Verdana"/>
      <family val="2"/>
    </font>
    <font>
      <sz val="20"/>
      <color indexed="63"/>
      <name val="Arial"/>
      <family val="2"/>
    </font>
    <font>
      <sz val="9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name val="Arial Unicode MS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0"/>
      <color indexed="12"/>
      <name val="Verdana"/>
      <family val="2"/>
    </font>
    <font>
      <sz val="8"/>
      <color indexed="17"/>
      <name val="Verdana"/>
      <family val="2"/>
    </font>
    <font>
      <i/>
      <sz val="8"/>
      <color indexed="17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8"/>
      <color indexed="17"/>
      <name val="Verdana"/>
      <family val="2"/>
    </font>
    <font>
      <i/>
      <sz val="8"/>
      <color indexed="12"/>
      <name val="Verdana"/>
      <family val="2"/>
    </font>
    <font>
      <i/>
      <sz val="8"/>
      <color indexed="10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14"/>
      <name val="Arial"/>
      <family val="0"/>
    </font>
    <font>
      <sz val="18"/>
      <color indexed="63"/>
      <name val="Arial Black"/>
      <family val="2"/>
    </font>
    <font>
      <sz val="14"/>
      <color indexed="63"/>
      <name val="Arial Black"/>
      <family val="2"/>
    </font>
    <font>
      <b/>
      <sz val="14"/>
      <color indexed="63"/>
      <name val="Verdana"/>
      <family val="2"/>
    </font>
    <font>
      <b/>
      <sz val="18"/>
      <color indexed="63"/>
      <name val="Verdana"/>
      <family val="2"/>
    </font>
    <font>
      <i/>
      <sz val="8"/>
      <color indexed="39"/>
      <name val="Arial"/>
      <family val="2"/>
    </font>
    <font>
      <b/>
      <sz val="8"/>
      <color indexed="10"/>
      <name val="Arial"/>
      <family val="2"/>
    </font>
    <font>
      <b/>
      <sz val="10"/>
      <name val="Verdana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52"/>
      </left>
      <right style="medium">
        <color indexed="52"/>
      </right>
      <top style="thin">
        <color indexed="52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52"/>
      </left>
      <right style="medium">
        <color indexed="52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thin">
        <color indexed="57"/>
      </left>
      <right style="medium">
        <color indexed="57"/>
      </right>
      <top style="medium">
        <color indexed="22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medium">
        <color indexed="22"/>
      </bottom>
    </border>
    <border>
      <left style="thin">
        <color indexed="10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22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22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52"/>
      </left>
      <right style="medium">
        <color indexed="52"/>
      </right>
      <top style="medium">
        <color indexed="22"/>
      </top>
      <bottom>
        <color indexed="63"/>
      </bottom>
    </border>
    <border>
      <left style="thin">
        <color indexed="52"/>
      </left>
      <right style="medium">
        <color indexed="52"/>
      </right>
      <top>
        <color indexed="63"/>
      </top>
      <bottom style="medium">
        <color indexed="22"/>
      </bottom>
    </border>
    <border>
      <left style="thin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10"/>
      </left>
      <right style="medium">
        <color indexed="10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medium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22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55"/>
      </bottom>
    </border>
    <border>
      <left style="thin">
        <color indexed="17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/>
      <top>
        <color indexed="63"/>
      </top>
      <bottom style="hair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thin">
        <color indexed="10"/>
      </left>
      <right style="medium">
        <color indexed="10"/>
      </right>
      <top style="hair"/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ill="1" applyBorder="1" applyAlignment="1" quotePrefix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Alignment="1">
      <alignment horizontal="left" indent="1"/>
    </xf>
    <xf numFmtId="0" fontId="0" fillId="2" borderId="2" xfId="0" applyFill="1" applyBorder="1" applyAlignment="1">
      <alignment vertical="top"/>
    </xf>
    <xf numFmtId="0" fontId="3" fillId="0" borderId="0" xfId="0" applyFont="1" applyAlignment="1">
      <alignment horizontal="left" wrapText="1" indent="1"/>
    </xf>
    <xf numFmtId="0" fontId="5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0" fontId="5" fillId="0" borderId="2" xfId="0" applyFont="1" applyBorder="1" applyAlignment="1">
      <alignment textRotation="90"/>
    </xf>
    <xf numFmtId="0" fontId="1" fillId="0" borderId="0" xfId="0" applyFont="1" applyBorder="1" applyAlignment="1">
      <alignment vertical="top"/>
    </xf>
    <xf numFmtId="0" fontId="1" fillId="3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textRotation="9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textRotation="90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18" xfId="0" applyBorder="1" applyAlignment="1">
      <alignment/>
    </xf>
    <xf numFmtId="0" fontId="9" fillId="0" borderId="18" xfId="15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textRotation="90"/>
    </xf>
    <xf numFmtId="0" fontId="21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textRotation="90"/>
    </xf>
    <xf numFmtId="0" fontId="0" fillId="0" borderId="0" xfId="0" applyBorder="1" applyAlignment="1">
      <alignment vertical="center"/>
    </xf>
    <xf numFmtId="0" fontId="25" fillId="0" borderId="0" xfId="0" applyFont="1" applyAlignment="1">
      <alignment/>
    </xf>
    <xf numFmtId="0" fontId="25" fillId="0" borderId="8" xfId="0" applyFont="1" applyBorder="1" applyAlignment="1">
      <alignment/>
    </xf>
    <xf numFmtId="0" fontId="25" fillId="0" borderId="9" xfId="0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left" vertical="top" wrapText="1"/>
    </xf>
    <xf numFmtId="0" fontId="25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7" fillId="0" borderId="2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0" fillId="0" borderId="25" xfId="0" applyFont="1" applyBorder="1" applyAlignment="1">
      <alignment horizontal="left" textRotation="9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/>
    </xf>
    <xf numFmtId="0" fontId="23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8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3" fillId="0" borderId="28" xfId="0" applyFont="1" applyBorder="1" applyAlignment="1">
      <alignment vertical="top"/>
    </xf>
    <xf numFmtId="0" fontId="2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23" fillId="0" borderId="28" xfId="0" applyFont="1" applyBorder="1" applyAlignment="1">
      <alignment vertical="center"/>
    </xf>
    <xf numFmtId="0" fontId="29" fillId="0" borderId="28" xfId="0" applyFont="1" applyBorder="1" applyAlignment="1">
      <alignment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3" fillId="0" borderId="29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9" fillId="0" borderId="29" xfId="0" applyFont="1" applyBorder="1" applyAlignment="1">
      <alignment vertical="top"/>
    </xf>
    <xf numFmtId="0" fontId="29" fillId="0" borderId="30" xfId="0" applyFont="1" applyBorder="1" applyAlignment="1">
      <alignment vertical="top"/>
    </xf>
    <xf numFmtId="0" fontId="2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3" fillId="0" borderId="31" xfId="0" applyFont="1" applyBorder="1" applyAlignment="1">
      <alignment vertical="top"/>
    </xf>
    <xf numFmtId="0" fontId="2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vertical="top"/>
    </xf>
    <xf numFmtId="0" fontId="23" fillId="0" borderId="31" xfId="0" applyFont="1" applyBorder="1" applyAlignment="1">
      <alignment vertical="center"/>
    </xf>
    <xf numFmtId="0" fontId="29" fillId="0" borderId="31" xfId="0" applyFont="1" applyBorder="1" applyAlignment="1">
      <alignment vertical="top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3" fillId="0" borderId="32" xfId="0" applyFont="1" applyBorder="1" applyAlignment="1">
      <alignment vertical="top"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vertical="top"/>
    </xf>
    <xf numFmtId="0" fontId="23" fillId="0" borderId="32" xfId="0" applyFont="1" applyBorder="1" applyAlignment="1">
      <alignment vertical="center"/>
    </xf>
    <xf numFmtId="0" fontId="29" fillId="0" borderId="32" xfId="0" applyFont="1" applyBorder="1" applyAlignment="1">
      <alignment vertical="top"/>
    </xf>
    <xf numFmtId="0" fontId="0" fillId="0" borderId="4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vertical="top"/>
    </xf>
    <xf numFmtId="0" fontId="30" fillId="0" borderId="28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0" fillId="0" borderId="30" xfId="0" applyFont="1" applyBorder="1" applyAlignment="1">
      <alignment vertical="top"/>
    </xf>
    <xf numFmtId="0" fontId="30" fillId="0" borderId="32" xfId="0" applyFont="1" applyBorder="1" applyAlignment="1">
      <alignment vertical="top"/>
    </xf>
    <xf numFmtId="0" fontId="23" fillId="0" borderId="0" xfId="0" applyFont="1" applyAlignment="1">
      <alignment/>
    </xf>
    <xf numFmtId="0" fontId="11" fillId="0" borderId="0" xfId="0" applyFont="1" applyBorder="1" applyAlignment="1">
      <alignment/>
    </xf>
    <xf numFmtId="0" fontId="29" fillId="0" borderId="0" xfId="0" applyFont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30" fillId="0" borderId="31" xfId="0" applyFont="1" applyBorder="1" applyAlignment="1">
      <alignment vertical="top"/>
    </xf>
    <xf numFmtId="0" fontId="1" fillId="0" borderId="3" xfId="0" applyFont="1" applyFill="1" applyBorder="1" applyAlignment="1">
      <alignment textRotation="90"/>
    </xf>
    <xf numFmtId="0" fontId="1" fillId="0" borderId="3" xfId="0" applyFont="1" applyFill="1" applyBorder="1" applyAlignment="1">
      <alignment/>
    </xf>
    <xf numFmtId="0" fontId="32" fillId="0" borderId="18" xfId="0" applyFont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1" fontId="33" fillId="0" borderId="5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 vertical="center"/>
    </xf>
    <xf numFmtId="1" fontId="2" fillId="0" borderId="0" xfId="0" applyNumberFormat="1" applyFont="1" applyAlignment="1">
      <alignment/>
    </xf>
    <xf numFmtId="1" fontId="2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3" borderId="51" xfId="0" applyFont="1" applyFill="1" applyBorder="1" applyAlignment="1">
      <alignment horizontal="center" vertical="top"/>
    </xf>
    <xf numFmtId="0" fontId="0" fillId="4" borderId="18" xfId="0" applyFont="1" applyFill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38" fillId="0" borderId="17" xfId="0" applyFont="1" applyBorder="1" applyAlignment="1" quotePrefix="1">
      <alignment horizontal="center" vertical="center" wrapText="1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Font="1" applyFill="1" applyBorder="1" applyAlignment="1">
      <alignment horizontal="center" vertical="top"/>
    </xf>
    <xf numFmtId="0" fontId="0" fillId="3" borderId="52" xfId="0" applyFont="1" applyFill="1" applyBorder="1" applyAlignment="1">
      <alignment horizontal="center" vertical="top"/>
    </xf>
    <xf numFmtId="0" fontId="0" fillId="4" borderId="52" xfId="0" applyFont="1" applyFill="1" applyBorder="1" applyAlignment="1">
      <alignment horizontal="center" vertical="top"/>
    </xf>
    <xf numFmtId="0" fontId="1" fillId="0" borderId="53" xfId="0" applyFont="1" applyBorder="1" applyAlignment="1">
      <alignment vertical="top"/>
    </xf>
    <xf numFmtId="0" fontId="0" fillId="0" borderId="54" xfId="0" applyFont="1" applyBorder="1" applyAlignment="1">
      <alignment/>
    </xf>
    <xf numFmtId="0" fontId="1" fillId="0" borderId="53" xfId="0" applyFont="1" applyBorder="1" applyAlignment="1">
      <alignment vertical="center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/>
    </xf>
    <xf numFmtId="0" fontId="23" fillId="0" borderId="0" xfId="0" applyFont="1" applyAlignment="1" quotePrefix="1">
      <alignment/>
    </xf>
    <xf numFmtId="0" fontId="0" fillId="0" borderId="55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0" fillId="0" borderId="56" xfId="0" applyBorder="1" applyAlignment="1">
      <alignment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4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6" fillId="0" borderId="64" xfId="0" applyFont="1" applyBorder="1" applyAlignment="1">
      <alignment horizontal="left" vertical="center"/>
    </xf>
    <xf numFmtId="0" fontId="42" fillId="0" borderId="64" xfId="0" applyFont="1" applyBorder="1" applyAlignment="1">
      <alignment horizontal="left" vertical="center"/>
    </xf>
    <xf numFmtId="0" fontId="42" fillId="0" borderId="65" xfId="0" applyFont="1" applyBorder="1" applyAlignment="1">
      <alignment horizontal="left" vertical="center"/>
    </xf>
    <xf numFmtId="0" fontId="42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9" fillId="0" borderId="61" xfId="0" applyFont="1" applyBorder="1" applyAlignment="1">
      <alignment vertical="center" wrapText="1"/>
    </xf>
    <xf numFmtId="0" fontId="23" fillId="0" borderId="64" xfId="0" applyFont="1" applyBorder="1" applyAlignment="1">
      <alignment horizontal="left" vertical="center"/>
    </xf>
    <xf numFmtId="0" fontId="23" fillId="0" borderId="66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67" xfId="0" applyFont="1" applyBorder="1" applyAlignment="1">
      <alignment horizontal="left" vertical="center"/>
    </xf>
    <xf numFmtId="0" fontId="24" fillId="0" borderId="68" xfId="0" applyFont="1" applyBorder="1" applyAlignment="1">
      <alignment horizontal="left" vertical="center"/>
    </xf>
    <xf numFmtId="0" fontId="23" fillId="0" borderId="67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9" fillId="0" borderId="65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 wrapText="1"/>
    </xf>
    <xf numFmtId="0" fontId="17" fillId="0" borderId="0" xfId="0" applyFont="1" applyAlignment="1">
      <alignment vertical="top" shrinkToFit="1"/>
    </xf>
    <xf numFmtId="0" fontId="26" fillId="0" borderId="0" xfId="0" applyFont="1" applyAlignment="1">
      <alignment vertical="top" shrinkToFit="1"/>
    </xf>
    <xf numFmtId="0" fontId="26" fillId="0" borderId="64" xfId="0" applyFont="1" applyBorder="1" applyAlignment="1">
      <alignment vertical="center" shrinkToFit="1"/>
    </xf>
    <xf numFmtId="0" fontId="0" fillId="3" borderId="69" xfId="0" applyFont="1" applyFill="1" applyBorder="1" applyAlignment="1">
      <alignment horizontal="center" vertical="top"/>
    </xf>
    <xf numFmtId="0" fontId="23" fillId="0" borderId="70" xfId="0" applyFont="1" applyBorder="1" applyAlignment="1">
      <alignment horizontal="left" vertical="center"/>
    </xf>
    <xf numFmtId="0" fontId="0" fillId="3" borderId="7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/>
    </xf>
    <xf numFmtId="0" fontId="1" fillId="3" borderId="71" xfId="0" applyFont="1" applyFill="1" applyBorder="1" applyAlignment="1" quotePrefix="1">
      <alignment horizontal="center" vertical="center"/>
    </xf>
    <xf numFmtId="0" fontId="1" fillId="4" borderId="71" xfId="0" applyFont="1" applyFill="1" applyBorder="1" applyAlignment="1" quotePrefix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25" fillId="0" borderId="52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" fontId="33" fillId="0" borderId="72" xfId="0" applyNumberFormat="1" applyFont="1" applyFill="1" applyBorder="1" applyAlignment="1">
      <alignment horizontal="center" vertical="center"/>
    </xf>
    <xf numFmtId="1" fontId="33" fillId="0" borderId="7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74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4" fillId="0" borderId="61" xfId="0" applyFont="1" applyBorder="1" applyAlignment="1">
      <alignment vertical="center" wrapText="1"/>
    </xf>
    <xf numFmtId="0" fontId="11" fillId="3" borderId="51" xfId="0" applyFont="1" applyFill="1" applyBorder="1" applyAlignment="1">
      <alignment horizontal="center" vertical="top"/>
    </xf>
    <xf numFmtId="0" fontId="11" fillId="4" borderId="18" xfId="0" applyFont="1" applyFill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9" xfId="0" applyFont="1" applyFill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4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7" fillId="0" borderId="2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43" fillId="0" borderId="0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23" fillId="0" borderId="0" xfId="0" applyFont="1" applyBorder="1" applyAlignment="1" quotePrefix="1">
      <alignment vertical="top"/>
    </xf>
    <xf numFmtId="0" fontId="0" fillId="0" borderId="75" xfId="0" applyBorder="1" applyAlignment="1">
      <alignment vertical="top"/>
    </xf>
    <xf numFmtId="0" fontId="31" fillId="0" borderId="57" xfId="0" applyFont="1" applyBorder="1" applyAlignment="1">
      <alignment horizontal="center" vertical="top"/>
    </xf>
    <xf numFmtId="0" fontId="23" fillId="0" borderId="57" xfId="0" applyFont="1" applyBorder="1" applyAlignment="1">
      <alignment vertical="top"/>
    </xf>
    <xf numFmtId="0" fontId="0" fillId="0" borderId="76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25" fillId="0" borderId="8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8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29" fillId="0" borderId="0" xfId="0" applyFont="1" applyAlignment="1">
      <alignment vertical="top"/>
    </xf>
    <xf numFmtId="0" fontId="23" fillId="0" borderId="0" xfId="0" applyFont="1" applyAlignment="1" quotePrefix="1">
      <alignment vertical="top"/>
    </xf>
    <xf numFmtId="0" fontId="2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21" fillId="4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23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9" fillId="0" borderId="0" xfId="15" applyBorder="1" applyAlignment="1">
      <alignment vertical="center"/>
    </xf>
    <xf numFmtId="1" fontId="33" fillId="0" borderId="77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1" fontId="33" fillId="0" borderId="7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horizontal="left" wrapText="1"/>
    </xf>
    <xf numFmtId="0" fontId="0" fillId="0" borderId="18" xfId="0" applyFont="1" applyBorder="1" applyAlignment="1">
      <alignment vertical="center" wrapText="1"/>
    </xf>
    <xf numFmtId="0" fontId="0" fillId="0" borderId="55" xfId="0" applyFont="1" applyBorder="1" applyAlignment="1">
      <alignment vertical="top" wrapText="1"/>
    </xf>
    <xf numFmtId="0" fontId="36" fillId="0" borderId="69" xfId="0" applyFont="1" applyFill="1" applyBorder="1" applyAlignment="1">
      <alignment vertical="top" wrapText="1"/>
    </xf>
    <xf numFmtId="0" fontId="36" fillId="0" borderId="17" xfId="0" applyFont="1" applyFill="1" applyBorder="1" applyAlignment="1">
      <alignment vertical="top" wrapText="1"/>
    </xf>
    <xf numFmtId="0" fontId="0" fillId="0" borderId="55" xfId="0" applyFont="1" applyBorder="1" applyAlignment="1">
      <alignment horizontal="left" wrapText="1"/>
    </xf>
    <xf numFmtId="0" fontId="0" fillId="0" borderId="54" xfId="0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0" fontId="0" fillId="3" borderId="5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3" borderId="52" xfId="0" applyFont="1" applyFill="1" applyBorder="1" applyAlignment="1" quotePrefix="1">
      <alignment horizontal="center" vertical="top"/>
    </xf>
    <xf numFmtId="0" fontId="37" fillId="0" borderId="69" xfId="0" applyFont="1" applyBorder="1" applyAlignment="1">
      <alignment horizontal="left" vertical="top" wrapText="1" indent="2"/>
    </xf>
    <xf numFmtId="9" fontId="37" fillId="0" borderId="69" xfId="0" applyNumberFormat="1" applyFont="1" applyBorder="1" applyAlignment="1">
      <alignment horizontal="left" vertical="top" wrapText="1" indent="2"/>
    </xf>
    <xf numFmtId="0" fontId="52" fillId="0" borderId="69" xfId="0" applyFont="1" applyBorder="1" applyAlignment="1">
      <alignment horizontal="left" vertical="top" wrapText="1" indent="2"/>
    </xf>
    <xf numFmtId="10" fontId="52" fillId="0" borderId="69" xfId="0" applyNumberFormat="1" applyFont="1" applyBorder="1" applyAlignment="1">
      <alignment horizontal="left" vertical="top" wrapText="1" indent="2"/>
    </xf>
    <xf numFmtId="10" fontId="37" fillId="0" borderId="69" xfId="0" applyNumberFormat="1" applyFont="1" applyBorder="1" applyAlignment="1">
      <alignment horizontal="left" vertical="top" wrapText="1" indent="2"/>
    </xf>
    <xf numFmtId="0" fontId="37" fillId="0" borderId="7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8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vertical="top"/>
    </xf>
    <xf numFmtId="0" fontId="5" fillId="0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/>
    </xf>
    <xf numFmtId="0" fontId="5" fillId="0" borderId="52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textRotation="90"/>
    </xf>
    <xf numFmtId="0" fontId="55" fillId="2" borderId="2" xfId="0" applyFont="1" applyFill="1" applyBorder="1" applyAlignment="1">
      <alignment vertical="center" textRotation="90"/>
    </xf>
    <xf numFmtId="0" fontId="55" fillId="2" borderId="3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/>
    </xf>
    <xf numFmtId="0" fontId="54" fillId="2" borderId="0" xfId="0" applyFont="1" applyFill="1" applyBorder="1" applyAlignment="1">
      <alignment/>
    </xf>
    <xf numFmtId="0" fontId="55" fillId="2" borderId="3" xfId="0" applyFont="1" applyFill="1" applyBorder="1" applyAlignment="1">
      <alignment textRotation="90"/>
    </xf>
    <xf numFmtId="0" fontId="55" fillId="2" borderId="52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6" fillId="0" borderId="55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 indent="2"/>
    </xf>
    <xf numFmtId="0" fontId="31" fillId="0" borderId="79" xfId="0" applyFont="1" applyBorder="1" applyAlignment="1">
      <alignment horizontal="center" vertical="top"/>
    </xf>
    <xf numFmtId="0" fontId="23" fillId="0" borderId="79" xfId="0" applyFont="1" applyBorder="1" applyAlignment="1">
      <alignment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0" fontId="62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10" fontId="37" fillId="0" borderId="19" xfId="0" applyNumberFormat="1" applyFont="1" applyBorder="1" applyAlignment="1">
      <alignment horizontal="left" vertical="top"/>
    </xf>
    <xf numFmtId="0" fontId="37" fillId="0" borderId="19" xfId="0" applyFont="1" applyBorder="1" applyAlignment="1">
      <alignment vertical="top"/>
    </xf>
    <xf numFmtId="10" fontId="37" fillId="0" borderId="19" xfId="0" applyNumberFormat="1" applyFont="1" applyBorder="1" applyAlignment="1">
      <alignment vertical="top"/>
    </xf>
    <xf numFmtId="0" fontId="25" fillId="0" borderId="17" xfId="0" applyFont="1" applyBorder="1" applyAlignment="1">
      <alignment horizontal="left" vertical="top" wrapText="1"/>
    </xf>
    <xf numFmtId="0" fontId="25" fillId="0" borderId="3" xfId="0" applyFont="1" applyBorder="1" applyAlignment="1">
      <alignment wrapText="1"/>
    </xf>
    <xf numFmtId="0" fontId="25" fillId="0" borderId="0" xfId="0" applyFont="1" applyAlignment="1">
      <alignment vertical="top"/>
    </xf>
    <xf numFmtId="0" fontId="25" fillId="0" borderId="19" xfId="0" applyFont="1" applyBorder="1" applyAlignment="1">
      <alignment horizontal="left" wrapText="1"/>
    </xf>
    <xf numFmtId="0" fontId="43" fillId="0" borderId="64" xfId="0" applyFont="1" applyBorder="1" applyAlignment="1">
      <alignment horizontal="left" vertical="center"/>
    </xf>
    <xf numFmtId="0" fontId="46" fillId="0" borderId="68" xfId="0" applyFont="1" applyBorder="1" applyAlignment="1">
      <alignment horizontal="left" vertical="center"/>
    </xf>
    <xf numFmtId="0" fontId="46" fillId="0" borderId="57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5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0" fontId="1" fillId="5" borderId="80" xfId="0" applyNumberFormat="1" applyFont="1" applyFill="1" applyBorder="1" applyAlignment="1">
      <alignment/>
    </xf>
    <xf numFmtId="0" fontId="0" fillId="5" borderId="81" xfId="0" applyFill="1" applyBorder="1" applyAlignment="1">
      <alignment/>
    </xf>
    <xf numFmtId="0" fontId="0" fillId="5" borderId="0" xfId="0" applyFill="1" applyAlignment="1">
      <alignment/>
    </xf>
    <xf numFmtId="0" fontId="5" fillId="5" borderId="0" xfId="0" applyNumberFormat="1" applyFont="1" applyFill="1" applyAlignment="1">
      <alignment/>
    </xf>
    <xf numFmtId="0" fontId="5" fillId="5" borderId="0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5" fillId="5" borderId="0" xfId="0" applyNumberFormat="1" applyFont="1" applyFill="1" applyAlignment="1">
      <alignment horizontal="left"/>
    </xf>
    <xf numFmtId="0" fontId="0" fillId="5" borderId="0" xfId="0" applyFill="1" applyBorder="1" applyAlignment="1">
      <alignment horizontal="center"/>
    </xf>
    <xf numFmtId="0" fontId="5" fillId="5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0" fillId="5" borderId="82" xfId="0" applyFill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1" fillId="0" borderId="2" xfId="0" applyFont="1" applyFill="1" applyBorder="1" applyAlignment="1">
      <alignment textRotation="90"/>
    </xf>
    <xf numFmtId="0" fontId="1" fillId="0" borderId="2" xfId="0" applyFont="1" applyFill="1" applyBorder="1" applyAlignment="1">
      <alignment/>
    </xf>
    <xf numFmtId="0" fontId="1" fillId="0" borderId="17" xfId="0" applyFont="1" applyFill="1" applyBorder="1" applyAlignment="1">
      <alignment textRotation="90"/>
    </xf>
    <xf numFmtId="0" fontId="0" fillId="0" borderId="17" xfId="0" applyFill="1" applyBorder="1" applyAlignment="1">
      <alignment/>
    </xf>
    <xf numFmtId="0" fontId="1" fillId="0" borderId="0" xfId="0" applyFont="1" applyBorder="1" applyAlignment="1">
      <alignment/>
    </xf>
    <xf numFmtId="0" fontId="37" fillId="0" borderId="2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9" fillId="0" borderId="0" xfId="0" applyFont="1" applyAlignment="1">
      <alignment wrapText="1"/>
    </xf>
    <xf numFmtId="0" fontId="0" fillId="0" borderId="56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56" xfId="0" applyBorder="1" applyAlignment="1">
      <alignment wrapText="1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1" fillId="0" borderId="18" xfId="0" applyFont="1" applyBorder="1" applyAlignment="1">
      <alignment horizontal="left" vertical="center" wrapText="1" indent="1"/>
    </xf>
    <xf numFmtId="0" fontId="25" fillId="0" borderId="18" xfId="0" applyFont="1" applyBorder="1" applyAlignment="1">
      <alignment horizontal="left" wrapText="1" indent="1"/>
    </xf>
    <xf numFmtId="0" fontId="23" fillId="0" borderId="54" xfId="0" applyFont="1" applyBorder="1" applyAlignment="1">
      <alignment horizontal="center" vertical="top"/>
    </xf>
    <xf numFmtId="0" fontId="0" fillId="0" borderId="54" xfId="0" applyBorder="1" applyAlignment="1">
      <alignment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9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2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1" fillId="4" borderId="0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left" textRotation="90"/>
    </xf>
    <xf numFmtId="0" fontId="0" fillId="0" borderId="0" xfId="0" applyBorder="1" applyAlignment="1">
      <alignment horizontal="left"/>
    </xf>
    <xf numFmtId="0" fontId="51" fillId="0" borderId="18" xfId="0" applyFont="1" applyBorder="1" applyAlignment="1">
      <alignment horizontal="left" vertical="top" wrapText="1" indent="1"/>
    </xf>
    <xf numFmtId="0" fontId="25" fillId="0" borderId="18" xfId="0" applyFont="1" applyBorder="1" applyAlignment="1">
      <alignment horizontal="left" vertical="top" wrapText="1" indent="1"/>
    </xf>
    <xf numFmtId="0" fontId="1" fillId="3" borderId="83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/>
    </xf>
    <xf numFmtId="0" fontId="1" fillId="3" borderId="84" xfId="0" applyFont="1" applyFill="1" applyBorder="1" applyAlignment="1">
      <alignment horizontal="center"/>
    </xf>
    <xf numFmtId="0" fontId="17" fillId="0" borderId="0" xfId="0" applyFont="1" applyAlignment="1">
      <alignment vertical="top" wrapText="1" shrinkToFit="1"/>
    </xf>
    <xf numFmtId="0" fontId="26" fillId="0" borderId="0" xfId="0" applyFont="1" applyAlignment="1">
      <alignment vertical="top" wrapText="1" shrinkToFit="1"/>
    </xf>
    <xf numFmtId="0" fontId="30" fillId="0" borderId="0" xfId="0" applyFont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5" fillId="0" borderId="72" xfId="0" applyFont="1" applyFill="1" applyBorder="1" applyAlignment="1">
      <alignment horizontal="center" textRotation="90"/>
    </xf>
    <xf numFmtId="0" fontId="11" fillId="0" borderId="73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39" fillId="2" borderId="83" xfId="0" applyFont="1" applyFill="1" applyBorder="1" applyAlignment="1" quotePrefix="1">
      <alignment horizontal="center" textRotation="90"/>
    </xf>
    <xf numFmtId="0" fontId="40" fillId="2" borderId="3" xfId="0" applyFont="1" applyFill="1" applyBorder="1" applyAlignment="1">
      <alignment horizontal="center"/>
    </xf>
    <xf numFmtId="0" fontId="40" fillId="2" borderId="8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4" borderId="85" xfId="0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3" borderId="83" xfId="0" applyFont="1" applyFill="1" applyBorder="1" applyAlignment="1">
      <alignment horizontal="center" textRotation="90"/>
    </xf>
    <xf numFmtId="0" fontId="0" fillId="0" borderId="3" xfId="0" applyFont="1" applyBorder="1" applyAlignment="1">
      <alignment horizontal="center"/>
    </xf>
    <xf numFmtId="0" fontId="0" fillId="4" borderId="15" xfId="0" applyFont="1" applyFill="1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0" fillId="0" borderId="83" xfId="0" applyFont="1" applyBorder="1" applyAlignment="1">
      <alignment horizontal="center" textRotation="90"/>
    </xf>
    <xf numFmtId="0" fontId="36" fillId="0" borderId="0" xfId="0" applyFont="1" applyBorder="1" applyAlignment="1">
      <alignment vertical="center"/>
    </xf>
    <xf numFmtId="0" fontId="0" fillId="0" borderId="0" xfId="0" applyAlignment="1">
      <alignment/>
    </xf>
    <xf numFmtId="0" fontId="1" fillId="3" borderId="87" xfId="0" applyFont="1" applyFill="1" applyBorder="1" applyAlignment="1">
      <alignment textRotation="90"/>
    </xf>
    <xf numFmtId="0" fontId="1" fillId="3" borderId="87" xfId="0" applyFont="1" applyFill="1" applyBorder="1" applyAlignment="1">
      <alignment/>
    </xf>
    <xf numFmtId="0" fontId="1" fillId="4" borderId="87" xfId="0" applyFont="1" applyFill="1" applyBorder="1" applyAlignment="1">
      <alignment textRotation="90"/>
    </xf>
    <xf numFmtId="0" fontId="1" fillId="4" borderId="87" xfId="0" applyFont="1" applyFill="1" applyBorder="1" applyAlignment="1">
      <alignment/>
    </xf>
    <xf numFmtId="0" fontId="1" fillId="2" borderId="87" xfId="0" applyFont="1" applyFill="1" applyBorder="1" applyAlignment="1">
      <alignment textRotation="90"/>
    </xf>
    <xf numFmtId="0" fontId="1" fillId="2" borderId="87" xfId="0" applyFont="1" applyFill="1" applyBorder="1" applyAlignment="1">
      <alignment/>
    </xf>
    <xf numFmtId="0" fontId="5" fillId="0" borderId="87" xfId="0" applyFont="1" applyBorder="1" applyAlignment="1" quotePrefix="1">
      <alignment textRotation="90"/>
    </xf>
    <xf numFmtId="0" fontId="5" fillId="0" borderId="87" xfId="0" applyFont="1" applyBorder="1" applyAlignment="1">
      <alignment textRotation="90"/>
    </xf>
    <xf numFmtId="0" fontId="5" fillId="0" borderId="87" xfId="0" applyFont="1" applyFill="1" applyBorder="1" applyAlignment="1">
      <alignment textRotation="90"/>
    </xf>
    <xf numFmtId="0" fontId="5" fillId="0" borderId="87" xfId="0" applyFont="1" applyFill="1" applyBorder="1" applyAlignment="1">
      <alignment/>
    </xf>
    <xf numFmtId="0" fontId="55" fillId="2" borderId="87" xfId="0" applyFont="1" applyFill="1" applyBorder="1" applyAlignment="1" quotePrefix="1">
      <alignment textRotation="90"/>
    </xf>
    <xf numFmtId="0" fontId="55" fillId="2" borderId="87" xfId="0" applyFont="1" applyFill="1" applyBorder="1" applyAlignment="1">
      <alignment textRotation="90"/>
    </xf>
    <xf numFmtId="0" fontId="65" fillId="0" borderId="18" xfId="0" applyFont="1" applyBorder="1" applyAlignment="1">
      <alignment horizontal="left" vertical="top" wrapText="1" indent="1"/>
    </xf>
    <xf numFmtId="0" fontId="23" fillId="0" borderId="54" xfId="0" applyFont="1" applyBorder="1" applyAlignment="1">
      <alignment vertical="top" wrapText="1"/>
    </xf>
    <xf numFmtId="0" fontId="0" fillId="0" borderId="54" xfId="0" applyBorder="1" applyAlignment="1">
      <alignment wrapText="1"/>
    </xf>
    <xf numFmtId="0" fontId="24" fillId="0" borderId="54" xfId="0" applyFont="1" applyBorder="1" applyAlignment="1">
      <alignment horizontal="center" vertical="center" wrapText="1"/>
    </xf>
    <xf numFmtId="0" fontId="32" fillId="0" borderId="54" xfId="0" applyFont="1" applyBorder="1" applyAlignment="1">
      <alignment vertical="center"/>
    </xf>
    <xf numFmtId="0" fontId="21" fillId="3" borderId="54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6.png" /><Relationship Id="rId6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8</xdr:row>
      <xdr:rowOff>200025</xdr:rowOff>
    </xdr:from>
    <xdr:to>
      <xdr:col>14</xdr:col>
      <xdr:colOff>257175</xdr:colOff>
      <xdr:row>10</xdr:row>
      <xdr:rowOff>66675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981200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8</xdr:row>
      <xdr:rowOff>142875</xdr:rowOff>
    </xdr:from>
    <xdr:to>
      <xdr:col>16</xdr:col>
      <xdr:colOff>257175</xdr:colOff>
      <xdr:row>10</xdr:row>
      <xdr:rowOff>66675</xdr:rowOff>
    </xdr:to>
    <xdr:pic>
      <xdr:nvPicPr>
        <xdr:cNvPr id="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924050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6</xdr:row>
      <xdr:rowOff>57150</xdr:rowOff>
    </xdr:from>
    <xdr:to>
      <xdr:col>23</xdr:col>
      <xdr:colOff>257175</xdr:colOff>
      <xdr:row>10</xdr:row>
      <xdr:rowOff>66675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1400175"/>
          <a:ext cx="228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166</xdr:row>
      <xdr:rowOff>200025</xdr:rowOff>
    </xdr:from>
    <xdr:to>
      <xdr:col>14</xdr:col>
      <xdr:colOff>257175</xdr:colOff>
      <xdr:row>168</xdr:row>
      <xdr:rowOff>0</xdr:rowOff>
    </xdr:to>
    <xdr:pic>
      <xdr:nvPicPr>
        <xdr:cNvPr id="4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5641300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166</xdr:row>
      <xdr:rowOff>142875</xdr:rowOff>
    </xdr:from>
    <xdr:to>
      <xdr:col>16</xdr:col>
      <xdr:colOff>257175</xdr:colOff>
      <xdr:row>168</xdr:row>
      <xdr:rowOff>0</xdr:rowOff>
    </xdr:to>
    <xdr:pic>
      <xdr:nvPicPr>
        <xdr:cNvPr id="5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5584150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164</xdr:row>
      <xdr:rowOff>57150</xdr:rowOff>
    </xdr:from>
    <xdr:to>
      <xdr:col>23</xdr:col>
      <xdr:colOff>257175</xdr:colOff>
      <xdr:row>168</xdr:row>
      <xdr:rowOff>0</xdr:rowOff>
    </xdr:to>
    <xdr:pic>
      <xdr:nvPicPr>
        <xdr:cNvPr id="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25060275"/>
          <a:ext cx="228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238</xdr:row>
      <xdr:rowOff>200025</xdr:rowOff>
    </xdr:from>
    <xdr:to>
      <xdr:col>14</xdr:col>
      <xdr:colOff>257175</xdr:colOff>
      <xdr:row>240</xdr:row>
      <xdr:rowOff>0</xdr:rowOff>
    </xdr:to>
    <xdr:pic>
      <xdr:nvPicPr>
        <xdr:cNvPr id="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6195000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238</xdr:row>
      <xdr:rowOff>142875</xdr:rowOff>
    </xdr:from>
    <xdr:to>
      <xdr:col>16</xdr:col>
      <xdr:colOff>257175</xdr:colOff>
      <xdr:row>240</xdr:row>
      <xdr:rowOff>0</xdr:rowOff>
    </xdr:to>
    <xdr:pic>
      <xdr:nvPicPr>
        <xdr:cNvPr id="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6137850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236</xdr:row>
      <xdr:rowOff>57150</xdr:rowOff>
    </xdr:from>
    <xdr:to>
      <xdr:col>23</xdr:col>
      <xdr:colOff>257175</xdr:colOff>
      <xdr:row>240</xdr:row>
      <xdr:rowOff>0</xdr:rowOff>
    </xdr:to>
    <xdr:pic>
      <xdr:nvPicPr>
        <xdr:cNvPr id="9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35613975"/>
          <a:ext cx="228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6</xdr:row>
      <xdr:rowOff>38100</xdr:rowOff>
    </xdr:from>
    <xdr:to>
      <xdr:col>18</xdr:col>
      <xdr:colOff>276225</xdr:colOff>
      <xdr:row>10</xdr:row>
      <xdr:rowOff>123825</xdr:rowOff>
    </xdr:to>
    <xdr:pic>
      <xdr:nvPicPr>
        <xdr:cNvPr id="10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81125"/>
          <a:ext cx="238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8</xdr:row>
      <xdr:rowOff>209550</xdr:rowOff>
    </xdr:from>
    <xdr:to>
      <xdr:col>21</xdr:col>
      <xdr:colOff>304800</xdr:colOff>
      <xdr:row>10</xdr:row>
      <xdr:rowOff>66675</xdr:rowOff>
    </xdr:to>
    <xdr:pic>
      <xdr:nvPicPr>
        <xdr:cNvPr id="11" name="Picture 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19907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164</xdr:row>
      <xdr:rowOff>38100</xdr:rowOff>
    </xdr:from>
    <xdr:to>
      <xdr:col>18</xdr:col>
      <xdr:colOff>276225</xdr:colOff>
      <xdr:row>168</xdr:row>
      <xdr:rowOff>57150</xdr:rowOff>
    </xdr:to>
    <xdr:pic>
      <xdr:nvPicPr>
        <xdr:cNvPr id="12" name="Picture 2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25041225"/>
          <a:ext cx="238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166</xdr:row>
      <xdr:rowOff>209550</xdr:rowOff>
    </xdr:from>
    <xdr:to>
      <xdr:col>21</xdr:col>
      <xdr:colOff>304800</xdr:colOff>
      <xdr:row>168</xdr:row>
      <xdr:rowOff>0</xdr:rowOff>
    </xdr:to>
    <xdr:pic>
      <xdr:nvPicPr>
        <xdr:cNvPr id="13" name="Picture 2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256508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236</xdr:row>
      <xdr:rowOff>38100</xdr:rowOff>
    </xdr:from>
    <xdr:to>
      <xdr:col>18</xdr:col>
      <xdr:colOff>276225</xdr:colOff>
      <xdr:row>240</xdr:row>
      <xdr:rowOff>57150</xdr:rowOff>
    </xdr:to>
    <xdr:pic>
      <xdr:nvPicPr>
        <xdr:cNvPr id="14" name="Picture 2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35594925"/>
          <a:ext cx="238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238</xdr:row>
      <xdr:rowOff>209550</xdr:rowOff>
    </xdr:from>
    <xdr:to>
      <xdr:col>21</xdr:col>
      <xdr:colOff>304800</xdr:colOff>
      <xdr:row>240</xdr:row>
      <xdr:rowOff>0</xdr:rowOff>
    </xdr:to>
    <xdr:pic>
      <xdr:nvPicPr>
        <xdr:cNvPr id="15" name="Picture 2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362045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12</xdr:col>
      <xdr:colOff>400050</xdr:colOff>
      <xdr:row>29</xdr:row>
      <xdr:rowOff>647700</xdr:rowOff>
    </xdr:to>
    <xdr:pic>
      <xdr:nvPicPr>
        <xdr:cNvPr id="16" name="Picture 4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4305300"/>
          <a:ext cx="4086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ditChauffageB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liste améliorations"/>
      <sheetName val="liens Q R"/>
      <sheetName val="calcul"/>
    </sheetNames>
    <sheetDataSet>
      <sheetData sheetId="1">
        <row r="7">
          <cell r="H7" t="str">
            <v>Remplacer la chaudière et le brûleur</v>
          </cell>
        </row>
        <row r="8">
          <cell r="H8" t="str">
            <v>Etudier la faisabilité de la cogénération</v>
          </cell>
        </row>
        <row r="9">
          <cell r="H9" t="str">
            <v>Remplacer le brûleur </v>
          </cell>
        </row>
        <row r="10">
          <cell r="H10" t="str">
            <v>Régler le régulateur de tirage</v>
          </cell>
        </row>
        <row r="11">
          <cell r="H11" t="str">
            <v>Placer un régulateur de tirage </v>
          </cell>
        </row>
        <row r="12">
          <cell r="H12" t="str">
            <v>Nettoyer la chaudière</v>
          </cell>
        </row>
        <row r="13">
          <cell r="H13" t="str">
            <v>Réisoler la chaudière, et par la suite, envisager son remplacement</v>
          </cell>
        </row>
        <row r="14">
          <cell r="H14" t="str">
            <v>Améliorer le réglage du brûleur : Régler le registre d'air et la tete de combustion</v>
          </cell>
        </row>
        <row r="15">
          <cell r="H15" t="str">
            <v>Colmater les inétanchéités de la chaudière (portes, entre éléments en fonte) </v>
          </cell>
        </row>
        <row r="16">
          <cell r="H16" t="str">
            <v>Diminuer la puissance du brûleur existant (Mettre un gicleur de plus petit calibre)</v>
          </cell>
        </row>
        <row r="17">
          <cell r="H17" t="str">
            <v>Corriger le raccordement électrique du brûleur ou débloquer le clapet pour qu'il se ferme</v>
          </cell>
        </row>
        <row r="18">
          <cell r="H18" t="str">
            <v>Equiper les chaudières pour pouvoir piloter chaudières et brûleurs en cascade</v>
          </cell>
        </row>
        <row r="19">
          <cell r="H19" t="str">
            <v>Si le rendement reste inférieur à 88% après avoir effectué les améliorations possibles (colmaté et nettoyé la chaudière, régulé le tirage, diminué la puissance du brûleur),remplacer la chaudière et le brûleur</v>
          </cell>
        </row>
        <row r="64">
          <cell r="H64" t="str">
            <v>Arrêter l'installation de chauffage la nuit et le week-end</v>
          </cell>
        </row>
        <row r="65">
          <cell r="H65" t="str">
            <v>Pratiquer un ralenti par coupure complète de l'installation, contrôlée par thermostat d'ambiance</v>
          </cell>
        </row>
        <row r="66">
          <cell r="H66" t="str">
            <v>Sensibiliser les occupants à utiliser les vannes thermostatiques (ou commandes des unités terminales) plutôt que d'ouvrir les fenêtres en cas de surchauffe.</v>
          </cell>
        </row>
        <row r="67">
          <cell r="H67" t="str">
            <v>Remplacer l'horloge afin de pouvoir programmer le fonctionnement de l'installation conformément à l'utilisation du bâtiment (en fonction du jour de la semaine, des jours de congé,…)</v>
          </cell>
        </row>
        <row r="68">
          <cell r="H68" t="str">
            <v>Arrêter les circulateurs lorsqu'il n'y a pas de besoin de chauffage </v>
          </cell>
        </row>
        <row r="69">
          <cell r="H69" t="str">
            <v>Vérifier les paramètres de régulation pour permettre la condensation (l'eau arrive froide à la chaudière) </v>
          </cell>
        </row>
        <row r="70">
          <cell r="H70" t="str">
            <v>Placer un thermostat d'ambiance de compensation</v>
          </cell>
        </row>
        <row r="71">
          <cell r="H71" t="str">
            <v>Adapter les horaires de la régulation aux horaires d'occupation réels du bâtiment</v>
          </cell>
        </row>
        <row r="72">
          <cell r="H72" t="str">
            <v>Déplacer les sondes d'ambiance mal situées (à proximité d'une source chaude ou froide, trop près des fenêtres ou de la bouche de ventilation, ... )</v>
          </cell>
        </row>
        <row r="73">
          <cell r="H73" t="str">
            <v>Equiper les différents circuits d'une régulation indépendante.</v>
          </cell>
        </row>
        <row r="74">
          <cell r="H74" t="str">
            <v>Corriger le réglage des courbes de chauffe </v>
          </cell>
        </row>
        <row r="75">
          <cell r="H75" t="str">
            <v>Placer des vannes thermostatiques dans les locaux où il y a surchauffe</v>
          </cell>
        </row>
        <row r="76">
          <cell r="H76" t="str">
            <v>Adapter les consignes des différentes zones thermiques homogènes à leur type d'occupation (passage, activité légère, activité importante,…)</v>
          </cell>
        </row>
        <row r="77">
          <cell r="H77" t="str">
            <v>Contrôler les brûleurs plusieurs fois par an</v>
          </cell>
        </row>
        <row r="78">
          <cell r="H78" t="str">
            <v>Réguler l'aquastat pour qu'en été, en dehors des périodes de préparation de l'eau chaude sanitaire, la température de la chaudière retombe à 20°C</v>
          </cell>
        </row>
        <row r="79">
          <cell r="H79" t="str">
            <v>Arrêter la chaudière en été</v>
          </cell>
        </row>
        <row r="80">
          <cell r="H80" t="str">
            <v>Améliorer la régulation en cascade</v>
          </cell>
        </row>
        <row r="81">
          <cell r="H81" t="str">
            <v>Mettre une chaudière à l'arrêt</v>
          </cell>
        </row>
        <row r="82">
          <cell r="H82" t="str">
            <v>Remplacer le vase d'expansion</v>
          </cell>
        </row>
        <row r="83">
          <cell r="H83" t="str">
            <v>Chercher la cause de l'insuffisance d'eau, l'origine de la fuite</v>
          </cell>
        </row>
        <row r="84">
          <cell r="H84" t="e">
            <v>#N/A</v>
          </cell>
        </row>
        <row r="85">
          <cell r="H8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AB416"/>
  <sheetViews>
    <sheetView showGridLines="0" showRowColHeaders="0" tabSelected="1" workbookViewId="0" topLeftCell="A1">
      <selection activeCell="B408" sqref="B408:Y408"/>
    </sheetView>
  </sheetViews>
  <sheetFormatPr defaultColWidth="11.421875" defaultRowHeight="12.75"/>
  <cols>
    <col min="1" max="1" width="3.140625" style="0" customWidth="1"/>
    <col min="2" max="2" width="0.85546875" style="0" customWidth="1"/>
    <col min="3" max="5" width="2.28125" style="0" customWidth="1"/>
    <col min="6" max="6" width="6.28125" style="0" customWidth="1"/>
    <col min="7" max="7" width="2.421875" style="0" customWidth="1"/>
    <col min="8" max="8" width="6.28125" style="0" customWidth="1"/>
    <col min="9" max="9" width="13.57421875" style="0" customWidth="1"/>
    <col min="10" max="10" width="3.28125" style="0" customWidth="1"/>
    <col min="11" max="11" width="15.00390625" style="0" customWidth="1"/>
    <col min="12" max="12" width="3.8515625" style="0" customWidth="1"/>
    <col min="13" max="13" width="13.7109375" style="0" customWidth="1"/>
    <col min="14" max="14" width="1.7109375" style="0" customWidth="1"/>
    <col min="15" max="15" width="4.7109375" style="0" customWidth="1"/>
    <col min="16" max="16" width="0.85546875" style="0" customWidth="1"/>
    <col min="17" max="17" width="4.7109375" style="0" customWidth="1"/>
    <col min="18" max="18" width="0.85546875" style="0" customWidth="1"/>
    <col min="19" max="19" width="4.28125" style="0" customWidth="1"/>
    <col min="20" max="21" width="0.85546875" style="0" customWidth="1"/>
    <col min="22" max="22" width="4.7109375" style="0" customWidth="1"/>
    <col min="23" max="23" width="0.85546875" style="0" customWidth="1"/>
    <col min="24" max="24" width="4.7109375" style="0" customWidth="1"/>
    <col min="25" max="26" width="0.85546875" style="0" customWidth="1"/>
    <col min="27" max="27" width="1.28515625" style="0" customWidth="1"/>
  </cols>
  <sheetData>
    <row r="1" spans="2:25" s="14" customFormat="1" ht="21" customHeight="1">
      <c r="B1" s="507" t="s">
        <v>7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</row>
    <row r="2" spans="2:4" s="14" customFormat="1" ht="17.25" customHeight="1">
      <c r="B2" s="419"/>
      <c r="C2" s="420" t="s">
        <v>139</v>
      </c>
      <c r="D2" s="419"/>
    </row>
    <row r="3" spans="2:4" s="14" customFormat="1" ht="17.25" customHeight="1">
      <c r="B3" s="419"/>
      <c r="C3" s="420"/>
      <c r="D3" s="419"/>
    </row>
    <row r="4" spans="3:5" s="14" customFormat="1" ht="12" customHeight="1">
      <c r="C4" s="326" t="s">
        <v>4</v>
      </c>
      <c r="D4" s="421"/>
      <c r="E4" s="350" t="s">
        <v>8</v>
      </c>
    </row>
    <row r="5" spans="3:5" s="14" customFormat="1" ht="12" customHeight="1">
      <c r="C5" s="326" t="s">
        <v>4</v>
      </c>
      <c r="D5" s="421"/>
      <c r="E5" s="350" t="s">
        <v>130</v>
      </c>
    </row>
    <row r="6" spans="3:6" ht="26.25" customHeight="1" thickBot="1">
      <c r="C6" s="326" t="s">
        <v>4</v>
      </c>
      <c r="D6" s="421"/>
      <c r="E6" s="350" t="s">
        <v>9</v>
      </c>
      <c r="F6" s="2"/>
    </row>
    <row r="7" spans="2:28" ht="18.75" customHeight="1" thickBot="1">
      <c r="B7" s="81" t="s">
        <v>8</v>
      </c>
      <c r="C7" s="82"/>
      <c r="D7" s="32"/>
      <c r="E7" s="33"/>
      <c r="F7" s="34"/>
      <c r="G7" s="34"/>
      <c r="H7" s="34"/>
      <c r="I7" s="34"/>
      <c r="J7" s="34"/>
      <c r="K7" s="34"/>
      <c r="L7" s="34"/>
      <c r="M7" s="35"/>
      <c r="O7" s="83"/>
      <c r="P7" s="4"/>
      <c r="Q7" s="84"/>
      <c r="R7" s="85"/>
      <c r="S7" s="500"/>
      <c r="T7" s="86"/>
      <c r="U7" s="4"/>
      <c r="V7" s="87"/>
      <c r="W7" s="4"/>
      <c r="X7" s="88"/>
      <c r="Y7" s="4"/>
      <c r="Z7" s="4"/>
      <c r="AA7" s="4"/>
      <c r="AB7" s="4"/>
    </row>
    <row r="8" spans="3:28" ht="15.75" customHeight="1">
      <c r="C8" s="55"/>
      <c r="D8" s="30"/>
      <c r="E8" s="31"/>
      <c r="O8" s="89"/>
      <c r="P8" s="4"/>
      <c r="Q8" s="90"/>
      <c r="R8" s="4"/>
      <c r="S8" s="501"/>
      <c r="T8" s="91"/>
      <c r="U8" s="4"/>
      <c r="V8" s="92"/>
      <c r="W8" s="4"/>
      <c r="X8" s="93"/>
      <c r="Y8" s="4"/>
      <c r="Z8" s="4"/>
      <c r="AA8" s="4"/>
      <c r="AB8" s="4"/>
    </row>
    <row r="9" spans="15:28" ht="21" customHeight="1">
      <c r="O9" s="89"/>
      <c r="P9" s="4"/>
      <c r="Q9" s="90"/>
      <c r="R9" s="4"/>
      <c r="S9" s="501"/>
      <c r="T9" s="91"/>
      <c r="U9" s="4"/>
      <c r="V9" s="92"/>
      <c r="W9" s="4"/>
      <c r="X9" s="93"/>
      <c r="Y9" s="4"/>
      <c r="Z9" s="4"/>
      <c r="AA9" s="4"/>
      <c r="AB9" s="4"/>
    </row>
    <row r="10" spans="2:28" s="14" customFormat="1" ht="12.75">
      <c r="B10"/>
      <c r="C10"/>
      <c r="D10"/>
      <c r="E10"/>
      <c r="F10"/>
      <c r="G10"/>
      <c r="H10"/>
      <c r="I10"/>
      <c r="J10"/>
      <c r="K10"/>
      <c r="L10"/>
      <c r="M10"/>
      <c r="N10" s="67"/>
      <c r="O10" s="99"/>
      <c r="P10" s="67"/>
      <c r="Q10" s="100"/>
      <c r="R10" s="67"/>
      <c r="S10" s="501"/>
      <c r="T10" s="91"/>
      <c r="U10" s="67"/>
      <c r="V10" s="101"/>
      <c r="W10" s="67"/>
      <c r="X10" s="102"/>
      <c r="Y10" s="67"/>
      <c r="Z10" s="67"/>
      <c r="AA10" s="67"/>
      <c r="AB10" s="67"/>
    </row>
    <row r="11" spans="15:28" ht="13.5" customHeight="1" thickBot="1">
      <c r="O11" s="89"/>
      <c r="P11" s="4"/>
      <c r="Q11" s="90"/>
      <c r="R11" s="4"/>
      <c r="S11" s="4"/>
      <c r="T11" s="103"/>
      <c r="U11" s="4"/>
      <c r="V11" s="92"/>
      <c r="W11" s="4"/>
      <c r="X11" s="93"/>
      <c r="Y11" s="4"/>
      <c r="Z11" s="4"/>
      <c r="AA11" s="4"/>
      <c r="AB11" s="4"/>
    </row>
    <row r="12" spans="2:26" s="4" customFormat="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2"/>
      <c r="P12" s="23"/>
      <c r="Q12" s="131"/>
      <c r="R12" s="23"/>
      <c r="S12" s="23"/>
      <c r="T12" s="132"/>
      <c r="U12" s="23"/>
      <c r="V12" s="150"/>
      <c r="W12" s="23"/>
      <c r="X12" s="159"/>
      <c r="Y12" s="23"/>
      <c r="Z12" s="24"/>
    </row>
    <row r="13" spans="2:26" ht="18" customHeight="1" thickBot="1">
      <c r="B13" s="25"/>
      <c r="C13" s="489" t="s">
        <v>233</v>
      </c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109"/>
      <c r="O13" s="128"/>
      <c r="P13" s="109"/>
      <c r="Q13" s="143"/>
      <c r="R13" s="4"/>
      <c r="S13" s="149"/>
      <c r="T13" s="144"/>
      <c r="U13" s="109"/>
      <c r="V13" s="156"/>
      <c r="W13" s="109"/>
      <c r="X13" s="165"/>
      <c r="Y13" s="4"/>
      <c r="Z13" s="26"/>
    </row>
    <row r="14" spans="2:26" ht="8.25" customHeight="1">
      <c r="B14" s="25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109"/>
      <c r="O14" s="128"/>
      <c r="P14" s="109"/>
      <c r="Q14" s="143"/>
      <c r="R14" s="4"/>
      <c r="S14" s="116"/>
      <c r="T14" s="144"/>
      <c r="U14" s="109"/>
      <c r="V14" s="156"/>
      <c r="W14" s="109"/>
      <c r="X14" s="165"/>
      <c r="Y14" s="4"/>
      <c r="Z14" s="26"/>
    </row>
    <row r="15" spans="2:26" ht="18" customHeight="1">
      <c r="B15" s="25"/>
      <c r="C15" s="235" t="s">
        <v>234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09"/>
      <c r="O15" s="128"/>
      <c r="P15" s="109"/>
      <c r="Q15" s="143"/>
      <c r="R15" s="4"/>
      <c r="S15" s="116"/>
      <c r="T15" s="144"/>
      <c r="U15" s="109"/>
      <c r="V15" s="156"/>
      <c r="W15" s="109"/>
      <c r="X15" s="165"/>
      <c r="Y15" s="4"/>
      <c r="Z15" s="26"/>
    </row>
    <row r="16" spans="2:26" ht="15" customHeight="1">
      <c r="B16" s="25"/>
      <c r="C16" s="4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"/>
      <c r="O16" s="89"/>
      <c r="P16" s="4"/>
      <c r="Q16" s="90"/>
      <c r="R16" s="4"/>
      <c r="S16" s="4"/>
      <c r="T16" s="103"/>
      <c r="U16" s="4"/>
      <c r="V16" s="92"/>
      <c r="W16" s="4"/>
      <c r="X16" s="93"/>
      <c r="Y16" s="4"/>
      <c r="Z16" s="26"/>
    </row>
    <row r="17" spans="2:26" ht="5.25" customHeight="1" thickBo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23"/>
      <c r="P17" s="28"/>
      <c r="Q17" s="133"/>
      <c r="R17" s="28"/>
      <c r="S17" s="28"/>
      <c r="T17" s="134"/>
      <c r="U17" s="28"/>
      <c r="V17" s="151"/>
      <c r="W17" s="28"/>
      <c r="X17" s="160"/>
      <c r="Y17" s="28"/>
      <c r="Z17" s="29"/>
    </row>
    <row r="18" spans="15:24" ht="9" customHeight="1" thickBot="1">
      <c r="O18" s="89"/>
      <c r="Q18" s="90"/>
      <c r="R18" s="4"/>
      <c r="S18" s="4"/>
      <c r="T18" s="103"/>
      <c r="V18" s="92"/>
      <c r="X18" s="93"/>
    </row>
    <row r="19" spans="2:26" ht="7.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22"/>
      <c r="P19" s="23"/>
      <c r="Q19" s="131"/>
      <c r="R19" s="23"/>
      <c r="S19" s="23"/>
      <c r="T19" s="132"/>
      <c r="U19" s="23"/>
      <c r="V19" s="150"/>
      <c r="W19" s="23"/>
      <c r="X19" s="159"/>
      <c r="Y19" s="23"/>
      <c r="Z19" s="24"/>
    </row>
    <row r="20" spans="2:26" ht="7.5" customHeight="1">
      <c r="B20" s="2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89"/>
      <c r="P20" s="4"/>
      <c r="Q20" s="90"/>
      <c r="R20" s="4"/>
      <c r="S20" s="4"/>
      <c r="T20" s="103"/>
      <c r="U20" s="4"/>
      <c r="V20" s="92"/>
      <c r="W20" s="4"/>
      <c r="X20" s="93"/>
      <c r="Y20" s="4"/>
      <c r="Z20" s="26"/>
    </row>
    <row r="21" spans="2:26" s="14" customFormat="1" ht="18" customHeight="1" thickBot="1">
      <c r="B21" s="110"/>
      <c r="C21" s="112" t="s">
        <v>43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27"/>
      <c r="P21" s="113"/>
      <c r="Q21" s="141"/>
      <c r="R21" s="113"/>
      <c r="S21" s="149"/>
      <c r="T21" s="142"/>
      <c r="U21" s="113"/>
      <c r="V21" s="155"/>
      <c r="W21" s="113"/>
      <c r="X21" s="164"/>
      <c r="Y21" s="113"/>
      <c r="Z21" s="114"/>
    </row>
    <row r="22" spans="2:26" ht="12.75">
      <c r="B22" s="25"/>
      <c r="C22" s="106"/>
      <c r="D22" s="198" t="s">
        <v>44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26"/>
      <c r="P22" s="107"/>
      <c r="Q22" s="139"/>
      <c r="R22" s="107"/>
      <c r="S22" s="57"/>
      <c r="T22" s="140"/>
      <c r="U22" s="107"/>
      <c r="V22" s="154"/>
      <c r="W22" s="107"/>
      <c r="X22" s="163"/>
      <c r="Y22" s="107"/>
      <c r="Z22" s="26"/>
    </row>
    <row r="23" spans="2:26" ht="12.75">
      <c r="B23" s="25"/>
      <c r="C23" s="106"/>
      <c r="D23" s="198" t="s">
        <v>45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26"/>
      <c r="P23" s="107"/>
      <c r="Q23" s="139"/>
      <c r="R23" s="107"/>
      <c r="S23" s="57"/>
      <c r="T23" s="140"/>
      <c r="U23" s="107"/>
      <c r="V23" s="154"/>
      <c r="W23" s="107"/>
      <c r="X23" s="163"/>
      <c r="Y23" s="107"/>
      <c r="Z23" s="26"/>
    </row>
    <row r="24" spans="2:26" ht="12.75">
      <c r="B24" s="25"/>
      <c r="C24" s="106"/>
      <c r="D24" s="198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26"/>
      <c r="P24" s="107"/>
      <c r="Q24" s="139"/>
      <c r="R24" s="107"/>
      <c r="S24" s="57"/>
      <c r="T24" s="140"/>
      <c r="U24" s="107"/>
      <c r="V24" s="154"/>
      <c r="W24" s="107"/>
      <c r="X24" s="163"/>
      <c r="Y24" s="107"/>
      <c r="Z24" s="26"/>
    </row>
    <row r="25" spans="2:26" ht="12.75">
      <c r="B25" s="25"/>
      <c r="C25" s="106"/>
      <c r="D25" s="198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26"/>
      <c r="P25" s="107"/>
      <c r="Q25" s="139"/>
      <c r="R25" s="107"/>
      <c r="S25" s="57"/>
      <c r="T25" s="140"/>
      <c r="U25" s="107"/>
      <c r="V25" s="154"/>
      <c r="W25" s="107"/>
      <c r="X25" s="163"/>
      <c r="Y25" s="107"/>
      <c r="Z25" s="26"/>
    </row>
    <row r="26" spans="2:26" ht="12.75">
      <c r="B26" s="25"/>
      <c r="C26" s="106"/>
      <c r="D26" s="19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26"/>
      <c r="P26" s="107"/>
      <c r="Q26" s="139"/>
      <c r="R26" s="107"/>
      <c r="S26" s="57"/>
      <c r="T26" s="140"/>
      <c r="U26" s="107"/>
      <c r="V26" s="154"/>
      <c r="W26" s="107"/>
      <c r="X26" s="163"/>
      <c r="Y26" s="107"/>
      <c r="Z26" s="26"/>
    </row>
    <row r="27" spans="2:26" ht="12.75">
      <c r="B27" s="25"/>
      <c r="C27" s="106"/>
      <c r="D27" s="198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26"/>
      <c r="P27" s="107"/>
      <c r="Q27" s="139"/>
      <c r="R27" s="107"/>
      <c r="S27" s="57"/>
      <c r="T27" s="140"/>
      <c r="U27" s="107"/>
      <c r="V27" s="154"/>
      <c r="W27" s="107"/>
      <c r="X27" s="163"/>
      <c r="Y27" s="107"/>
      <c r="Z27" s="26"/>
    </row>
    <row r="28" spans="2:26" ht="12.75">
      <c r="B28" s="25"/>
      <c r="C28" s="106"/>
      <c r="D28" s="19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6"/>
      <c r="P28" s="107"/>
      <c r="Q28" s="139"/>
      <c r="R28" s="107"/>
      <c r="S28" s="57"/>
      <c r="T28" s="140"/>
      <c r="U28" s="107"/>
      <c r="V28" s="154"/>
      <c r="W28" s="107"/>
      <c r="X28" s="163"/>
      <c r="Y28" s="107"/>
      <c r="Z28" s="26"/>
    </row>
    <row r="29" spans="2:26" ht="12.75">
      <c r="B29" s="25"/>
      <c r="C29" s="106"/>
      <c r="D29" s="198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6"/>
      <c r="P29" s="107"/>
      <c r="Q29" s="139"/>
      <c r="R29" s="107"/>
      <c r="S29" s="57"/>
      <c r="T29" s="140"/>
      <c r="U29" s="107"/>
      <c r="V29" s="154"/>
      <c r="W29" s="107"/>
      <c r="X29" s="163"/>
      <c r="Y29" s="107"/>
      <c r="Z29" s="26"/>
    </row>
    <row r="30" spans="2:26" ht="60" customHeight="1">
      <c r="B30" s="25"/>
      <c r="C30" s="106"/>
      <c r="D30" s="198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6"/>
      <c r="P30" s="107"/>
      <c r="Q30" s="139"/>
      <c r="R30" s="107"/>
      <c r="S30" s="57"/>
      <c r="T30" s="140"/>
      <c r="U30" s="107"/>
      <c r="V30" s="154"/>
      <c r="W30" s="107"/>
      <c r="X30" s="163"/>
      <c r="Y30" s="107"/>
      <c r="Z30" s="26"/>
    </row>
    <row r="31" spans="2:26" ht="12.75">
      <c r="B31" s="25"/>
      <c r="C31" s="106" t="s">
        <v>46</v>
      </c>
      <c r="D31" s="198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26"/>
      <c r="P31" s="107"/>
      <c r="Q31" s="139"/>
      <c r="R31" s="107"/>
      <c r="S31" s="57"/>
      <c r="T31" s="140"/>
      <c r="U31" s="107"/>
      <c r="V31" s="154"/>
      <c r="W31" s="107"/>
      <c r="X31" s="163"/>
      <c r="Y31" s="107"/>
      <c r="Z31" s="26"/>
    </row>
    <row r="32" spans="2:26" ht="8.25" customHeight="1">
      <c r="B32" s="25"/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26"/>
      <c r="P32" s="107"/>
      <c r="Q32" s="139"/>
      <c r="R32" s="107"/>
      <c r="S32" s="57"/>
      <c r="T32" s="140"/>
      <c r="U32" s="107"/>
      <c r="V32" s="154"/>
      <c r="W32" s="107"/>
      <c r="X32" s="163"/>
      <c r="Y32" s="107"/>
      <c r="Z32" s="26"/>
    </row>
    <row r="33" spans="2:26" ht="5.25" customHeight="1">
      <c r="B33" s="2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9"/>
      <c r="P33" s="4"/>
      <c r="Q33" s="90"/>
      <c r="R33" s="4"/>
      <c r="S33" s="4"/>
      <c r="T33" s="103"/>
      <c r="U33" s="4"/>
      <c r="V33" s="92"/>
      <c r="W33" s="4"/>
      <c r="X33" s="93"/>
      <c r="Y33" s="4"/>
      <c r="Z33" s="26"/>
    </row>
    <row r="34" spans="2:26" s="14" customFormat="1" ht="18" customHeight="1" thickBot="1">
      <c r="B34" s="110"/>
      <c r="C34" s="111" t="s">
        <v>4</v>
      </c>
      <c r="D34" s="112" t="s">
        <v>120</v>
      </c>
      <c r="E34" s="113"/>
      <c r="F34" s="113"/>
      <c r="G34" s="113"/>
      <c r="H34" s="113"/>
      <c r="I34" s="113"/>
      <c r="J34" s="113"/>
      <c r="K34" s="113"/>
      <c r="L34" s="113"/>
      <c r="M34" s="113"/>
      <c r="O34" s="127"/>
      <c r="P34" s="113"/>
      <c r="Q34" s="141"/>
      <c r="R34" s="113"/>
      <c r="S34" s="149"/>
      <c r="T34" s="142"/>
      <c r="U34" s="113"/>
      <c r="V34" s="155"/>
      <c r="W34" s="113"/>
      <c r="X34" s="164"/>
      <c r="Y34" s="113"/>
      <c r="Z34" s="114"/>
    </row>
    <row r="35" spans="2:26" ht="12" customHeight="1">
      <c r="B35" s="25"/>
      <c r="C35" s="4"/>
      <c r="D35" s="491" t="s">
        <v>235</v>
      </c>
      <c r="E35" s="509"/>
      <c r="F35" s="509"/>
      <c r="G35" s="509"/>
      <c r="H35" s="509"/>
      <c r="I35" s="509"/>
      <c r="J35" s="509"/>
      <c r="K35" s="509"/>
      <c r="L35" s="509"/>
      <c r="M35" s="509"/>
      <c r="N35" s="56"/>
      <c r="O35" s="125"/>
      <c r="P35" s="56"/>
      <c r="Q35" s="137"/>
      <c r="R35" s="56"/>
      <c r="S35" s="56"/>
      <c r="T35" s="138"/>
      <c r="U35" s="56"/>
      <c r="V35" s="153"/>
      <c r="W35" s="56"/>
      <c r="X35" s="162"/>
      <c r="Y35" s="4"/>
      <c r="Z35" s="26"/>
    </row>
    <row r="36" spans="2:26" ht="15" customHeight="1">
      <c r="B36" s="25"/>
      <c r="C36" s="4"/>
      <c r="D36" s="477"/>
      <c r="E36" s="78"/>
      <c r="F36" s="78"/>
      <c r="G36" s="78"/>
      <c r="H36" s="78"/>
      <c r="I36" s="78"/>
      <c r="J36" s="78"/>
      <c r="K36" s="78"/>
      <c r="L36" s="78"/>
      <c r="M36" s="78"/>
      <c r="N36" s="4"/>
      <c r="O36" s="89"/>
      <c r="P36" s="4"/>
      <c r="Q36" s="90"/>
      <c r="R36" s="4"/>
      <c r="S36" s="4"/>
      <c r="T36" s="103"/>
      <c r="U36" s="4"/>
      <c r="V36" s="92"/>
      <c r="W36" s="4"/>
      <c r="X36" s="93"/>
      <c r="Y36" s="4"/>
      <c r="Z36" s="26"/>
    </row>
    <row r="37" spans="2:26" ht="6" customHeight="1">
      <c r="B37" s="25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26"/>
      <c r="P37" s="107"/>
      <c r="Q37" s="139"/>
      <c r="R37" s="107"/>
      <c r="S37" s="107"/>
      <c r="T37" s="140"/>
      <c r="U37" s="107"/>
      <c r="V37" s="154"/>
      <c r="W37" s="107"/>
      <c r="X37" s="163"/>
      <c r="Y37" s="107"/>
      <c r="Z37" s="26"/>
    </row>
    <row r="38" spans="2:26" ht="8.25" customHeight="1">
      <c r="B38" s="25"/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26"/>
      <c r="P38" s="107"/>
      <c r="Q38" s="139"/>
      <c r="R38" s="107"/>
      <c r="S38" s="57"/>
      <c r="T38" s="140"/>
      <c r="U38" s="107"/>
      <c r="V38" s="154"/>
      <c r="W38" s="107"/>
      <c r="X38" s="163"/>
      <c r="Y38" s="107"/>
      <c r="Z38" s="26"/>
    </row>
    <row r="39" spans="2:26" ht="5.25" customHeight="1">
      <c r="B39" s="2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89"/>
      <c r="P39" s="4"/>
      <c r="Q39" s="90"/>
      <c r="R39" s="4"/>
      <c r="S39" s="4"/>
      <c r="T39" s="103"/>
      <c r="U39" s="4"/>
      <c r="V39" s="92"/>
      <c r="W39" s="4"/>
      <c r="X39" s="93"/>
      <c r="Y39" s="4"/>
      <c r="Z39" s="26"/>
    </row>
    <row r="40" spans="2:26" s="14" customFormat="1" ht="18" customHeight="1" thickBot="1">
      <c r="B40" s="110"/>
      <c r="C40" s="111" t="s">
        <v>4</v>
      </c>
      <c r="D40" s="112" t="s">
        <v>102</v>
      </c>
      <c r="E40" s="113"/>
      <c r="F40" s="113"/>
      <c r="G40" s="113"/>
      <c r="H40" s="113"/>
      <c r="I40" s="113"/>
      <c r="J40" s="113"/>
      <c r="K40" s="113"/>
      <c r="L40" s="113"/>
      <c r="M40" s="113"/>
      <c r="O40" s="127"/>
      <c r="P40" s="113"/>
      <c r="Q40" s="141"/>
      <c r="R40" s="113"/>
      <c r="S40" s="149"/>
      <c r="T40" s="142"/>
      <c r="U40" s="113"/>
      <c r="V40" s="155"/>
      <c r="W40" s="113"/>
      <c r="X40" s="164"/>
      <c r="Y40" s="113"/>
      <c r="Z40" s="114"/>
    </row>
    <row r="41" spans="2:26" ht="15" customHeight="1">
      <c r="B41" s="25"/>
      <c r="C41" s="4"/>
      <c r="D41" s="477"/>
      <c r="E41" s="78"/>
      <c r="F41" s="78"/>
      <c r="G41" s="78"/>
      <c r="H41" s="78"/>
      <c r="I41" s="78"/>
      <c r="J41" s="78"/>
      <c r="K41" s="78"/>
      <c r="L41" s="78"/>
      <c r="M41" s="78"/>
      <c r="N41" s="4"/>
      <c r="O41" s="89"/>
      <c r="P41" s="4"/>
      <c r="Q41" s="90"/>
      <c r="R41" s="4"/>
      <c r="S41" s="4"/>
      <c r="T41" s="103"/>
      <c r="U41" s="4"/>
      <c r="V41" s="92"/>
      <c r="W41" s="4"/>
      <c r="X41" s="93"/>
      <c r="Y41" s="4"/>
      <c r="Z41" s="26"/>
    </row>
    <row r="42" spans="2:26" ht="6" customHeight="1">
      <c r="B42" s="2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26"/>
      <c r="P42" s="107"/>
      <c r="Q42" s="139"/>
      <c r="R42" s="107"/>
      <c r="S42" s="107"/>
      <c r="T42" s="140"/>
      <c r="U42" s="107"/>
      <c r="V42" s="154"/>
      <c r="W42" s="107"/>
      <c r="X42" s="163"/>
      <c r="Y42" s="107"/>
      <c r="Z42" s="26"/>
    </row>
    <row r="43" spans="2:26" ht="8.25" customHeight="1">
      <c r="B43" s="25"/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26"/>
      <c r="P43" s="107"/>
      <c r="Q43" s="139"/>
      <c r="R43" s="107"/>
      <c r="S43" s="57"/>
      <c r="T43" s="140"/>
      <c r="U43" s="107"/>
      <c r="V43" s="154"/>
      <c r="W43" s="107"/>
      <c r="X43" s="163"/>
      <c r="Y43" s="107"/>
      <c r="Z43" s="26"/>
    </row>
    <row r="44" spans="2:26" ht="5.25" customHeight="1">
      <c r="B44" s="2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89"/>
      <c r="P44" s="4"/>
      <c r="Q44" s="90"/>
      <c r="R44" s="4"/>
      <c r="S44" s="4"/>
      <c r="T44" s="103"/>
      <c r="U44" s="4"/>
      <c r="V44" s="92"/>
      <c r="W44" s="4"/>
      <c r="X44" s="93"/>
      <c r="Y44" s="4"/>
      <c r="Z44" s="26"/>
    </row>
    <row r="45" spans="2:26" s="14" customFormat="1" ht="18" customHeight="1" thickBot="1">
      <c r="B45" s="110"/>
      <c r="C45" s="111" t="s">
        <v>4</v>
      </c>
      <c r="D45" s="112" t="s">
        <v>103</v>
      </c>
      <c r="E45" s="113"/>
      <c r="F45" s="113"/>
      <c r="G45" s="113"/>
      <c r="H45" s="113"/>
      <c r="I45" s="113"/>
      <c r="J45" s="113"/>
      <c r="K45" s="113"/>
      <c r="L45" s="113"/>
      <c r="M45" s="113"/>
      <c r="O45" s="127"/>
      <c r="P45" s="113"/>
      <c r="Q45" s="141"/>
      <c r="R45" s="113"/>
      <c r="S45" s="149"/>
      <c r="T45" s="142"/>
      <c r="U45" s="113"/>
      <c r="V45" s="155"/>
      <c r="W45" s="113"/>
      <c r="X45" s="164"/>
      <c r="Y45" s="113"/>
      <c r="Z45" s="114"/>
    </row>
    <row r="46" spans="2:26" ht="24" customHeight="1">
      <c r="B46" s="25"/>
      <c r="C46" s="4"/>
      <c r="D46" s="491" t="s">
        <v>236</v>
      </c>
      <c r="E46" s="509"/>
      <c r="F46" s="509"/>
      <c r="G46" s="509"/>
      <c r="H46" s="509"/>
      <c r="I46" s="509"/>
      <c r="J46" s="509"/>
      <c r="K46" s="509"/>
      <c r="L46" s="509"/>
      <c r="M46" s="509"/>
      <c r="N46" s="56"/>
      <c r="O46" s="125"/>
      <c r="P46" s="56"/>
      <c r="Q46" s="137"/>
      <c r="R46" s="56"/>
      <c r="S46" s="56"/>
      <c r="T46" s="138"/>
      <c r="U46" s="56"/>
      <c r="V46" s="153"/>
      <c r="W46" s="56"/>
      <c r="X46" s="162"/>
      <c r="Y46" s="4"/>
      <c r="Z46" s="26"/>
    </row>
    <row r="47" spans="2:26" ht="15" customHeight="1">
      <c r="B47" s="25"/>
      <c r="C47" s="4"/>
      <c r="D47" s="477"/>
      <c r="E47" s="78"/>
      <c r="F47" s="78"/>
      <c r="G47" s="78"/>
      <c r="H47" s="78"/>
      <c r="I47" s="78"/>
      <c r="J47" s="78"/>
      <c r="K47" s="78"/>
      <c r="L47" s="78"/>
      <c r="M47" s="78"/>
      <c r="N47" s="4"/>
      <c r="O47" s="89"/>
      <c r="P47" s="4"/>
      <c r="Q47" s="90"/>
      <c r="R47" s="4"/>
      <c r="S47" s="4"/>
      <c r="T47" s="103"/>
      <c r="U47" s="4"/>
      <c r="V47" s="92"/>
      <c r="W47" s="4"/>
      <c r="X47" s="93"/>
      <c r="Y47" s="4"/>
      <c r="Z47" s="26"/>
    </row>
    <row r="48" spans="2:26" ht="6" customHeight="1">
      <c r="B48" s="25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26"/>
      <c r="P48" s="107"/>
      <c r="Q48" s="139"/>
      <c r="R48" s="107"/>
      <c r="S48" s="107"/>
      <c r="T48" s="140"/>
      <c r="U48" s="107"/>
      <c r="V48" s="154"/>
      <c r="W48" s="107"/>
      <c r="X48" s="163"/>
      <c r="Y48" s="107"/>
      <c r="Z48" s="26"/>
    </row>
    <row r="49" spans="2:26" ht="8.25" customHeight="1">
      <c r="B49" s="25"/>
      <c r="C49" s="106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6"/>
      <c r="P49" s="107"/>
      <c r="Q49" s="139"/>
      <c r="R49" s="107"/>
      <c r="S49" s="57"/>
      <c r="T49" s="140"/>
      <c r="U49" s="107"/>
      <c r="V49" s="154"/>
      <c r="W49" s="107"/>
      <c r="X49" s="163"/>
      <c r="Y49" s="107"/>
      <c r="Z49" s="26"/>
    </row>
    <row r="50" spans="2:26" ht="5.25" customHeight="1">
      <c r="B50" s="2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89"/>
      <c r="P50" s="4"/>
      <c r="Q50" s="90"/>
      <c r="R50" s="4"/>
      <c r="S50" s="4"/>
      <c r="T50" s="103"/>
      <c r="U50" s="4"/>
      <c r="V50" s="92"/>
      <c r="W50" s="4"/>
      <c r="X50" s="93"/>
      <c r="Y50" s="4"/>
      <c r="Z50" s="26"/>
    </row>
    <row r="51" spans="2:26" s="14" customFormat="1" ht="18" customHeight="1" thickBot="1">
      <c r="B51" s="110"/>
      <c r="C51" s="111" t="s">
        <v>4</v>
      </c>
      <c r="D51" s="112" t="s">
        <v>140</v>
      </c>
      <c r="E51" s="113"/>
      <c r="F51" s="113"/>
      <c r="G51" s="113"/>
      <c r="H51" s="113"/>
      <c r="I51" s="113"/>
      <c r="J51" s="113"/>
      <c r="K51" s="113"/>
      <c r="L51" s="113"/>
      <c r="M51" s="113"/>
      <c r="O51" s="127"/>
      <c r="P51" s="113"/>
      <c r="Q51" s="141"/>
      <c r="R51" s="113"/>
      <c r="S51" s="149"/>
      <c r="T51" s="142"/>
      <c r="U51" s="113"/>
      <c r="V51" s="155"/>
      <c r="W51" s="113"/>
      <c r="X51" s="164"/>
      <c r="Y51" s="113"/>
      <c r="Z51" s="114"/>
    </row>
    <row r="52" spans="2:26" s="14" customFormat="1" ht="18" customHeight="1">
      <c r="B52" s="110"/>
      <c r="C52" s="111"/>
      <c r="D52" s="235" t="s">
        <v>237</v>
      </c>
      <c r="E52" s="113"/>
      <c r="F52" s="113"/>
      <c r="G52" s="113"/>
      <c r="H52" s="113"/>
      <c r="I52" s="113"/>
      <c r="J52" s="113"/>
      <c r="K52" s="113"/>
      <c r="L52" s="113"/>
      <c r="M52" s="113"/>
      <c r="O52" s="127"/>
      <c r="P52" s="113"/>
      <c r="Q52" s="141"/>
      <c r="R52" s="113"/>
      <c r="S52" s="116"/>
      <c r="T52" s="142"/>
      <c r="U52" s="113"/>
      <c r="V52" s="155"/>
      <c r="W52" s="113"/>
      <c r="X52" s="164"/>
      <c r="Y52" s="113"/>
      <c r="Z52" s="114"/>
    </row>
    <row r="53" spans="2:26" ht="15" customHeight="1">
      <c r="B53" s="25"/>
      <c r="C53" s="4"/>
      <c r="D53" s="477"/>
      <c r="E53" s="78"/>
      <c r="F53" s="78"/>
      <c r="G53" s="78"/>
      <c r="H53" s="78"/>
      <c r="I53" s="78"/>
      <c r="J53" s="78"/>
      <c r="K53" s="78"/>
      <c r="L53" s="78"/>
      <c r="M53" s="78"/>
      <c r="N53" s="4"/>
      <c r="O53" s="89"/>
      <c r="P53" s="4"/>
      <c r="Q53" s="90"/>
      <c r="R53" s="4"/>
      <c r="S53" s="4"/>
      <c r="T53" s="103"/>
      <c r="U53" s="4"/>
      <c r="V53" s="92"/>
      <c r="W53" s="4"/>
      <c r="X53" s="93"/>
      <c r="Y53" s="4"/>
      <c r="Z53" s="26"/>
    </row>
    <row r="54" spans="2:26" ht="6" customHeight="1">
      <c r="B54" s="2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26"/>
      <c r="P54" s="107"/>
      <c r="Q54" s="139"/>
      <c r="R54" s="107"/>
      <c r="S54" s="107"/>
      <c r="T54" s="140"/>
      <c r="U54" s="107"/>
      <c r="V54" s="154"/>
      <c r="W54" s="107"/>
      <c r="X54" s="163"/>
      <c r="Y54" s="107"/>
      <c r="Z54" s="26"/>
    </row>
    <row r="55" spans="2:26" ht="5.25" customHeight="1">
      <c r="B55" s="2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89"/>
      <c r="P55" s="4"/>
      <c r="Q55" s="90"/>
      <c r="R55" s="4"/>
      <c r="S55" s="4"/>
      <c r="T55" s="103"/>
      <c r="U55" s="4"/>
      <c r="V55" s="92"/>
      <c r="W55" s="4"/>
      <c r="X55" s="93"/>
      <c r="Y55" s="4"/>
      <c r="Z55" s="26"/>
    </row>
    <row r="56" spans="2:26" ht="5.25" customHeight="1">
      <c r="B56" s="2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89"/>
      <c r="P56" s="4"/>
      <c r="Q56" s="90"/>
      <c r="R56" s="4"/>
      <c r="S56" s="4"/>
      <c r="T56" s="103"/>
      <c r="U56" s="4"/>
      <c r="V56" s="92"/>
      <c r="W56" s="4"/>
      <c r="X56" s="93"/>
      <c r="Y56" s="4"/>
      <c r="Z56" s="26"/>
    </row>
    <row r="57" spans="2:26" s="14" customFormat="1" ht="18" customHeight="1" thickBot="1">
      <c r="B57" s="110"/>
      <c r="C57" s="111" t="s">
        <v>4</v>
      </c>
      <c r="D57" s="112" t="s">
        <v>141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27"/>
      <c r="P57" s="113"/>
      <c r="Q57" s="141"/>
      <c r="R57" s="113"/>
      <c r="S57" s="149"/>
      <c r="T57" s="142"/>
      <c r="U57" s="113"/>
      <c r="V57" s="155"/>
      <c r="W57" s="113"/>
      <c r="X57" s="164"/>
      <c r="Y57" s="113"/>
      <c r="Z57" s="114"/>
    </row>
    <row r="58" spans="2:26" ht="15" customHeight="1">
      <c r="B58" s="25"/>
      <c r="C58" s="4"/>
      <c r="D58" s="477"/>
      <c r="E58" s="78"/>
      <c r="F58" s="78"/>
      <c r="G58" s="78"/>
      <c r="H58" s="78"/>
      <c r="I58" s="78"/>
      <c r="J58" s="78"/>
      <c r="K58" s="78"/>
      <c r="L58" s="78"/>
      <c r="M58" s="78"/>
      <c r="N58" s="4"/>
      <c r="O58" s="89"/>
      <c r="P58" s="4"/>
      <c r="Q58" s="90"/>
      <c r="R58" s="4"/>
      <c r="S58" s="4"/>
      <c r="T58" s="103"/>
      <c r="U58" s="4"/>
      <c r="V58" s="92"/>
      <c r="W58" s="4"/>
      <c r="X58" s="93"/>
      <c r="Y58" s="4"/>
      <c r="Z58" s="26"/>
    </row>
    <row r="59" spans="2:26" ht="9" customHeight="1">
      <c r="B59" s="2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89"/>
      <c r="P59" s="4"/>
      <c r="Q59" s="90"/>
      <c r="R59" s="4"/>
      <c r="S59" s="4"/>
      <c r="T59" s="103"/>
      <c r="U59" s="4"/>
      <c r="V59" s="92"/>
      <c r="W59" s="4"/>
      <c r="X59" s="93"/>
      <c r="Y59" s="4"/>
      <c r="Z59" s="26"/>
    </row>
    <row r="60" spans="2:26" ht="8.25" customHeight="1">
      <c r="B60" s="25"/>
      <c r="C60" s="106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26"/>
      <c r="P60" s="107"/>
      <c r="Q60" s="139"/>
      <c r="R60" s="107"/>
      <c r="S60" s="57"/>
      <c r="T60" s="140"/>
      <c r="U60" s="107"/>
      <c r="V60" s="154"/>
      <c r="W60" s="107"/>
      <c r="X60" s="163"/>
      <c r="Y60" s="107"/>
      <c r="Z60" s="26"/>
    </row>
    <row r="61" spans="2:26" ht="5.25" customHeight="1">
      <c r="B61" s="2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89"/>
      <c r="P61" s="4"/>
      <c r="Q61" s="90"/>
      <c r="R61" s="4"/>
      <c r="S61" s="4"/>
      <c r="T61" s="103"/>
      <c r="U61" s="4"/>
      <c r="V61" s="92"/>
      <c r="W61" s="4"/>
      <c r="X61" s="93"/>
      <c r="Y61" s="4"/>
      <c r="Z61" s="26"/>
    </row>
    <row r="62" spans="2:26" s="14" customFormat="1" ht="18" customHeight="1" thickBot="1">
      <c r="B62" s="110"/>
      <c r="C62" s="111" t="s">
        <v>4</v>
      </c>
      <c r="D62" s="112" t="s">
        <v>125</v>
      </c>
      <c r="E62" s="113"/>
      <c r="F62" s="113"/>
      <c r="G62" s="113"/>
      <c r="H62" s="113"/>
      <c r="I62" s="113"/>
      <c r="J62" s="113"/>
      <c r="K62" s="113"/>
      <c r="L62" s="113"/>
      <c r="M62" s="113"/>
      <c r="O62" s="127"/>
      <c r="P62" s="113"/>
      <c r="Q62" s="141"/>
      <c r="R62" s="113"/>
      <c r="S62" s="149"/>
      <c r="T62" s="142"/>
      <c r="U62" s="113"/>
      <c r="V62" s="155"/>
      <c r="W62" s="113"/>
      <c r="X62" s="164"/>
      <c r="Y62" s="113"/>
      <c r="Z62" s="114"/>
    </row>
    <row r="63" spans="2:26" ht="31.5" customHeight="1">
      <c r="B63" s="25"/>
      <c r="C63" s="4"/>
      <c r="D63" s="491" t="s">
        <v>238</v>
      </c>
      <c r="E63" s="509"/>
      <c r="F63" s="509"/>
      <c r="G63" s="509"/>
      <c r="H63" s="509"/>
      <c r="I63" s="509"/>
      <c r="J63" s="509"/>
      <c r="K63" s="509"/>
      <c r="L63" s="509"/>
      <c r="M63" s="509"/>
      <c r="N63" s="56"/>
      <c r="O63" s="125"/>
      <c r="P63" s="56"/>
      <c r="Q63" s="137"/>
      <c r="R63" s="56"/>
      <c r="S63" s="56"/>
      <c r="T63" s="138"/>
      <c r="U63" s="56"/>
      <c r="V63" s="153"/>
      <c r="W63" s="56"/>
      <c r="X63" s="162"/>
      <c r="Y63" s="4"/>
      <c r="Z63" s="26"/>
    </row>
    <row r="64" spans="2:26" ht="12.75" customHeight="1">
      <c r="B64" s="25"/>
      <c r="C64" s="4"/>
      <c r="D64" s="491" t="s">
        <v>239</v>
      </c>
      <c r="E64" s="490"/>
      <c r="F64" s="490"/>
      <c r="G64" s="490"/>
      <c r="H64" s="490"/>
      <c r="I64" s="490"/>
      <c r="J64" s="490"/>
      <c r="K64" s="490"/>
      <c r="L64" s="490"/>
      <c r="M64" s="490"/>
      <c r="N64" s="56"/>
      <c r="O64" s="125"/>
      <c r="P64" s="56"/>
      <c r="Q64" s="137"/>
      <c r="R64" s="56"/>
      <c r="S64" s="56"/>
      <c r="T64" s="138"/>
      <c r="U64" s="56"/>
      <c r="V64" s="153"/>
      <c r="W64" s="56"/>
      <c r="X64" s="162"/>
      <c r="Y64" s="4"/>
      <c r="Z64" s="26"/>
    </row>
    <row r="65" spans="2:26" ht="15" customHeight="1">
      <c r="B65" s="25"/>
      <c r="C65" s="4"/>
      <c r="D65" s="477"/>
      <c r="E65" s="78"/>
      <c r="F65" s="78"/>
      <c r="G65" s="78"/>
      <c r="H65" s="78"/>
      <c r="I65" s="78"/>
      <c r="J65" s="78"/>
      <c r="K65" s="78"/>
      <c r="L65" s="78"/>
      <c r="M65" s="78"/>
      <c r="N65" s="4"/>
      <c r="O65" s="89"/>
      <c r="P65" s="4"/>
      <c r="Q65" s="90"/>
      <c r="R65" s="4"/>
      <c r="S65" s="4"/>
      <c r="T65" s="103"/>
      <c r="U65" s="4"/>
      <c r="V65" s="92"/>
      <c r="W65" s="4"/>
      <c r="X65" s="93"/>
      <c r="Y65" s="4"/>
      <c r="Z65" s="26"/>
    </row>
    <row r="66" spans="2:26" ht="6" customHeight="1">
      <c r="B66" s="2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26"/>
      <c r="P66" s="107"/>
      <c r="Q66" s="139"/>
      <c r="R66" s="107"/>
      <c r="S66" s="107"/>
      <c r="T66" s="140"/>
      <c r="U66" s="107"/>
      <c r="V66" s="154"/>
      <c r="W66" s="107"/>
      <c r="X66" s="163"/>
      <c r="Y66" s="107"/>
      <c r="Z66" s="26"/>
    </row>
    <row r="67" spans="2:26" ht="5.25" customHeight="1" thickBot="1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123"/>
      <c r="P67" s="28"/>
      <c r="Q67" s="133"/>
      <c r="R67" s="28"/>
      <c r="S67" s="28"/>
      <c r="T67" s="134"/>
      <c r="U67" s="28"/>
      <c r="V67" s="151"/>
      <c r="W67" s="28"/>
      <c r="X67" s="160"/>
      <c r="Y67" s="28"/>
      <c r="Z67" s="29"/>
    </row>
    <row r="68" spans="15:24" ht="9" customHeight="1" thickBot="1">
      <c r="O68" s="89"/>
      <c r="Q68" s="90"/>
      <c r="R68" s="4"/>
      <c r="S68" s="4"/>
      <c r="T68" s="103"/>
      <c r="V68" s="92"/>
      <c r="X68" s="93"/>
    </row>
    <row r="69" spans="2:26" ht="6" customHeigh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22"/>
      <c r="P69" s="23"/>
      <c r="Q69" s="131"/>
      <c r="R69" s="23"/>
      <c r="S69" s="23"/>
      <c r="T69" s="132"/>
      <c r="U69" s="23"/>
      <c r="V69" s="150"/>
      <c r="W69" s="23"/>
      <c r="X69" s="159"/>
      <c r="Y69" s="23"/>
      <c r="Z69" s="24"/>
    </row>
    <row r="70" spans="2:26" ht="15" customHeight="1">
      <c r="B70" s="25"/>
      <c r="C70" s="106" t="s">
        <v>20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89"/>
      <c r="P70" s="4"/>
      <c r="Q70" s="90"/>
      <c r="R70" s="4"/>
      <c r="T70" s="103"/>
      <c r="U70" s="4"/>
      <c r="V70" s="92"/>
      <c r="W70" s="4"/>
      <c r="X70" s="93"/>
      <c r="Y70" s="4"/>
      <c r="Z70" s="26"/>
    </row>
    <row r="71" spans="2:26" ht="7.5" customHeight="1">
      <c r="B71" s="25"/>
      <c r="C71" s="5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89"/>
      <c r="P71" s="4"/>
      <c r="Q71" s="90"/>
      <c r="R71" s="4"/>
      <c r="S71" s="4"/>
      <c r="T71" s="103"/>
      <c r="U71" s="4"/>
      <c r="V71" s="92"/>
      <c r="W71" s="4"/>
      <c r="X71" s="93"/>
      <c r="Y71" s="4"/>
      <c r="Z71" s="26"/>
    </row>
    <row r="72" spans="2:26" ht="5.25" customHeight="1">
      <c r="B72" s="2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89"/>
      <c r="P72" s="4"/>
      <c r="Q72" s="90"/>
      <c r="R72" s="4"/>
      <c r="S72" s="4"/>
      <c r="T72" s="103"/>
      <c r="U72" s="4"/>
      <c r="V72" s="92"/>
      <c r="W72" s="4"/>
      <c r="X72" s="93"/>
      <c r="Y72" s="4"/>
      <c r="Z72" s="26"/>
    </row>
    <row r="73" spans="2:26" s="14" customFormat="1" ht="18" customHeight="1" thickBot="1">
      <c r="B73" s="110"/>
      <c r="C73" s="111" t="s">
        <v>4</v>
      </c>
      <c r="D73" s="112" t="s">
        <v>50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29"/>
      <c r="P73" s="112"/>
      <c r="Q73" s="145"/>
      <c r="R73" s="112"/>
      <c r="S73" s="149"/>
      <c r="T73" s="146"/>
      <c r="U73" s="112"/>
      <c r="V73" s="157"/>
      <c r="W73" s="112"/>
      <c r="X73" s="166"/>
      <c r="Y73" s="112"/>
      <c r="Z73" s="114"/>
    </row>
    <row r="74" spans="2:26" ht="35.25" customHeight="1">
      <c r="B74" s="25"/>
      <c r="C74" s="56"/>
      <c r="D74" s="491" t="s">
        <v>51</v>
      </c>
      <c r="E74" s="490"/>
      <c r="F74" s="490"/>
      <c r="G74" s="490"/>
      <c r="H74" s="490"/>
      <c r="I74" s="490"/>
      <c r="J74" s="490"/>
      <c r="K74" s="490"/>
      <c r="L74" s="490"/>
      <c r="M74" s="490"/>
      <c r="N74" s="56"/>
      <c r="O74" s="125"/>
      <c r="P74" s="56"/>
      <c r="Q74" s="137"/>
      <c r="R74" s="56"/>
      <c r="S74" s="56"/>
      <c r="T74" s="138"/>
      <c r="U74" s="56"/>
      <c r="V74" s="153"/>
      <c r="W74" s="56"/>
      <c r="X74" s="162"/>
      <c r="Y74" s="4"/>
      <c r="Z74" s="26"/>
    </row>
    <row r="75" spans="2:26" ht="15" customHeight="1">
      <c r="B75" s="25"/>
      <c r="C75" s="4"/>
      <c r="D75" s="477"/>
      <c r="E75" s="78"/>
      <c r="F75" s="78"/>
      <c r="G75" s="78"/>
      <c r="H75" s="78"/>
      <c r="I75" s="78"/>
      <c r="J75" s="78"/>
      <c r="K75" s="78"/>
      <c r="L75" s="78"/>
      <c r="M75" s="78"/>
      <c r="N75" s="4"/>
      <c r="O75" s="89"/>
      <c r="P75" s="4"/>
      <c r="Q75" s="90"/>
      <c r="R75" s="4"/>
      <c r="S75" s="4"/>
      <c r="T75" s="103"/>
      <c r="U75" s="4"/>
      <c r="V75" s="92"/>
      <c r="W75" s="4"/>
      <c r="X75" s="93"/>
      <c r="Y75" s="4"/>
      <c r="Z75" s="26"/>
    </row>
    <row r="76" spans="2:26" ht="9" customHeight="1">
      <c r="B76" s="2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89"/>
      <c r="P76" s="4"/>
      <c r="Q76" s="90"/>
      <c r="R76" s="4"/>
      <c r="S76" s="4"/>
      <c r="T76" s="103"/>
      <c r="U76" s="4"/>
      <c r="V76" s="92"/>
      <c r="W76" s="4"/>
      <c r="X76" s="93"/>
      <c r="Y76" s="4"/>
      <c r="Z76" s="26"/>
    </row>
    <row r="77" spans="2:26" ht="6" customHeight="1">
      <c r="B77" s="2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89"/>
      <c r="P77" s="4"/>
      <c r="Q77" s="90"/>
      <c r="R77" s="4"/>
      <c r="S77" s="4"/>
      <c r="T77" s="103"/>
      <c r="U77" s="4"/>
      <c r="V77" s="92"/>
      <c r="W77" s="4"/>
      <c r="X77" s="93"/>
      <c r="Y77" s="4"/>
      <c r="Z77" s="26"/>
    </row>
    <row r="78" spans="2:26" ht="5.25" customHeight="1">
      <c r="B78" s="2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89"/>
      <c r="P78" s="4"/>
      <c r="Q78" s="90"/>
      <c r="R78" s="4"/>
      <c r="S78" s="4"/>
      <c r="T78" s="103"/>
      <c r="U78" s="4"/>
      <c r="V78" s="92"/>
      <c r="W78" s="4"/>
      <c r="X78" s="93"/>
      <c r="Y78" s="4"/>
      <c r="Z78" s="26"/>
    </row>
    <row r="79" spans="2:26" s="14" customFormat="1" ht="18" customHeight="1" thickBot="1">
      <c r="B79" s="110"/>
      <c r="C79" s="111" t="s">
        <v>4</v>
      </c>
      <c r="D79" s="112" t="s">
        <v>52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29"/>
      <c r="P79" s="112"/>
      <c r="Q79" s="145"/>
      <c r="R79" s="112"/>
      <c r="S79" s="149"/>
      <c r="T79" s="146"/>
      <c r="U79" s="112"/>
      <c r="V79" s="157"/>
      <c r="W79" s="112"/>
      <c r="X79" s="166"/>
      <c r="Y79" s="112"/>
      <c r="Z79" s="114"/>
    </row>
    <row r="80" spans="2:26" ht="6.75" customHeight="1">
      <c r="B80" s="2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125"/>
      <c r="P80" s="56"/>
      <c r="Q80" s="137"/>
      <c r="R80" s="56"/>
      <c r="S80" s="56"/>
      <c r="T80" s="138"/>
      <c r="U80" s="56"/>
      <c r="V80" s="153"/>
      <c r="W80" s="56"/>
      <c r="X80" s="162"/>
      <c r="Y80" s="4"/>
      <c r="Z80" s="26"/>
    </row>
    <row r="81" spans="2:26" ht="15" customHeight="1">
      <c r="B81" s="25"/>
      <c r="C81" s="4"/>
      <c r="D81" s="477"/>
      <c r="E81" s="78"/>
      <c r="F81" s="78"/>
      <c r="G81" s="78"/>
      <c r="H81" s="78"/>
      <c r="I81" s="78"/>
      <c r="J81" s="78"/>
      <c r="K81" s="78"/>
      <c r="L81" s="78"/>
      <c r="M81" s="78"/>
      <c r="N81" s="4"/>
      <c r="O81" s="89"/>
      <c r="P81" s="4"/>
      <c r="Q81" s="90"/>
      <c r="R81" s="4"/>
      <c r="S81" s="4"/>
      <c r="T81" s="103"/>
      <c r="U81" s="4"/>
      <c r="V81" s="92"/>
      <c r="W81" s="4"/>
      <c r="X81" s="93"/>
      <c r="Y81" s="4"/>
      <c r="Z81" s="26"/>
    </row>
    <row r="82" spans="2:26" ht="9" customHeight="1">
      <c r="B82" s="2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89"/>
      <c r="P82" s="4"/>
      <c r="Q82" s="90"/>
      <c r="R82" s="4"/>
      <c r="S82" s="4"/>
      <c r="T82" s="103"/>
      <c r="U82" s="4"/>
      <c r="V82" s="92"/>
      <c r="W82" s="4"/>
      <c r="X82" s="93"/>
      <c r="Y82" s="4"/>
      <c r="Z82" s="26"/>
    </row>
    <row r="83" spans="2:26" ht="5.25" customHeight="1" thickBo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123"/>
      <c r="P83" s="28"/>
      <c r="Q83" s="133"/>
      <c r="R83" s="28"/>
      <c r="S83" s="28"/>
      <c r="T83" s="134"/>
      <c r="U83" s="28"/>
      <c r="V83" s="151"/>
      <c r="W83" s="28"/>
      <c r="X83" s="160"/>
      <c r="Y83" s="28"/>
      <c r="Z83" s="29"/>
    </row>
    <row r="84" spans="15:24" ht="9" customHeight="1" thickBot="1">
      <c r="O84" s="89"/>
      <c r="Q84" s="90"/>
      <c r="R84" s="4"/>
      <c r="S84" s="4"/>
      <c r="T84" s="103"/>
      <c r="V84" s="92"/>
      <c r="X84" s="93"/>
    </row>
    <row r="85" spans="2:26" s="4" customFormat="1" ht="6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122"/>
      <c r="P85" s="23"/>
      <c r="Q85" s="131"/>
      <c r="R85" s="23"/>
      <c r="S85" s="23"/>
      <c r="T85" s="132"/>
      <c r="U85" s="23"/>
      <c r="V85" s="150"/>
      <c r="W85" s="23"/>
      <c r="X85" s="159"/>
      <c r="Y85" s="23"/>
      <c r="Z85" s="24"/>
    </row>
    <row r="86" spans="2:26" ht="5.25" customHeight="1">
      <c r="B86" s="2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89"/>
      <c r="P86" s="4"/>
      <c r="Q86" s="90"/>
      <c r="R86" s="4"/>
      <c r="S86" s="4"/>
      <c r="T86" s="103"/>
      <c r="U86" s="4"/>
      <c r="V86" s="92"/>
      <c r="W86" s="4"/>
      <c r="X86" s="93"/>
      <c r="Y86" s="4"/>
      <c r="Z86" s="26"/>
    </row>
    <row r="87" spans="2:26" ht="18" customHeight="1" thickBot="1">
      <c r="B87" s="25"/>
      <c r="C87" s="104" t="s">
        <v>53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24"/>
      <c r="P87" s="104"/>
      <c r="Q87" s="135"/>
      <c r="R87" s="104"/>
      <c r="S87" s="149"/>
      <c r="T87" s="136"/>
      <c r="U87" s="104"/>
      <c r="V87" s="152"/>
      <c r="W87" s="104"/>
      <c r="X87" s="161"/>
      <c r="Y87" s="4"/>
      <c r="Z87" s="26"/>
    </row>
    <row r="88" spans="2:26" ht="15" customHeight="1">
      <c r="B88" s="25"/>
      <c r="C88" s="477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4"/>
      <c r="O88" s="89"/>
      <c r="P88" s="4"/>
      <c r="Q88" s="90"/>
      <c r="R88" s="4"/>
      <c r="S88" s="4"/>
      <c r="T88" s="103"/>
      <c r="U88" s="4"/>
      <c r="V88" s="92"/>
      <c r="W88" s="4"/>
      <c r="X88" s="93"/>
      <c r="Y88" s="4"/>
      <c r="Z88" s="26"/>
    </row>
    <row r="89" spans="2:26" ht="5.25" customHeight="1">
      <c r="B89" s="2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9"/>
      <c r="P89" s="4"/>
      <c r="Q89" s="90"/>
      <c r="R89" s="4"/>
      <c r="S89" s="4"/>
      <c r="T89" s="103"/>
      <c r="U89" s="4"/>
      <c r="V89" s="92"/>
      <c r="W89" s="4"/>
      <c r="X89" s="93"/>
      <c r="Y89" s="4"/>
      <c r="Z89" s="26"/>
    </row>
    <row r="90" spans="2:26" s="4" customFormat="1" ht="15.75" customHeight="1">
      <c r="B90" s="25"/>
      <c r="C90" s="4" t="s">
        <v>46</v>
      </c>
      <c r="O90" s="89"/>
      <c r="Q90" s="90"/>
      <c r="T90" s="103"/>
      <c r="V90" s="92"/>
      <c r="X90" s="93"/>
      <c r="Z90" s="26"/>
    </row>
    <row r="91" spans="2:26" s="4" customFormat="1" ht="4.5" customHeight="1">
      <c r="B91" s="25"/>
      <c r="O91" s="89"/>
      <c r="Q91" s="90"/>
      <c r="T91" s="103"/>
      <c r="V91" s="92"/>
      <c r="X91" s="93"/>
      <c r="Z91" s="26"/>
    </row>
    <row r="92" spans="2:26" ht="5.25" customHeight="1">
      <c r="B92" s="2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89"/>
      <c r="P92" s="4"/>
      <c r="Q92" s="90"/>
      <c r="R92" s="4"/>
      <c r="S92" s="4"/>
      <c r="T92" s="103"/>
      <c r="U92" s="4"/>
      <c r="V92" s="92"/>
      <c r="W92" s="4"/>
      <c r="X92" s="93"/>
      <c r="Y92" s="4"/>
      <c r="Z92" s="26"/>
    </row>
    <row r="93" spans="2:26" ht="18" customHeight="1">
      <c r="B93" s="25"/>
      <c r="C93" s="104" t="s">
        <v>142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24"/>
      <c r="P93" s="104"/>
      <c r="Q93" s="135"/>
      <c r="R93" s="104"/>
      <c r="S93" s="4"/>
      <c r="T93" s="136"/>
      <c r="U93" s="104"/>
      <c r="V93" s="152"/>
      <c r="W93" s="104"/>
      <c r="X93" s="161"/>
      <c r="Y93" s="4"/>
      <c r="Z93" s="26"/>
    </row>
    <row r="94" spans="2:26" ht="15" customHeight="1">
      <c r="B94" s="25"/>
      <c r="C94" s="477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4"/>
      <c r="O94" s="89"/>
      <c r="P94" s="4"/>
      <c r="Q94" s="90"/>
      <c r="R94" s="4"/>
      <c r="S94" s="4"/>
      <c r="T94" s="103"/>
      <c r="U94" s="4"/>
      <c r="V94" s="92"/>
      <c r="W94" s="4"/>
      <c r="X94" s="93"/>
      <c r="Y94" s="4"/>
      <c r="Z94" s="26"/>
    </row>
    <row r="95" spans="2:26" ht="5.25" customHeight="1">
      <c r="B95" s="2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89"/>
      <c r="P95" s="4"/>
      <c r="Q95" s="90"/>
      <c r="R95" s="4"/>
      <c r="S95" s="4"/>
      <c r="T95" s="103"/>
      <c r="U95" s="4"/>
      <c r="V95" s="92"/>
      <c r="W95" s="4"/>
      <c r="X95" s="93"/>
      <c r="Y95" s="4"/>
      <c r="Z95" s="26"/>
    </row>
    <row r="96" spans="2:26" s="4" customFormat="1" ht="6" customHeight="1" thickBot="1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123"/>
      <c r="P96" s="28"/>
      <c r="Q96" s="133"/>
      <c r="R96" s="28"/>
      <c r="S96" s="28"/>
      <c r="T96" s="134"/>
      <c r="U96" s="28"/>
      <c r="V96" s="151"/>
      <c r="W96" s="28"/>
      <c r="X96" s="160"/>
      <c r="Y96" s="28"/>
      <c r="Z96" s="29"/>
    </row>
    <row r="97" spans="15:24" ht="9" customHeight="1" thickBot="1">
      <c r="O97" s="89"/>
      <c r="Q97" s="90"/>
      <c r="R97" s="4"/>
      <c r="S97" s="4"/>
      <c r="T97" s="103"/>
      <c r="V97" s="92"/>
      <c r="X97" s="93"/>
    </row>
    <row r="98" spans="2:26" ht="6" customHeight="1"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122"/>
      <c r="P98" s="23"/>
      <c r="Q98" s="131"/>
      <c r="R98" s="23"/>
      <c r="S98" s="23"/>
      <c r="T98" s="132"/>
      <c r="U98" s="23"/>
      <c r="V98" s="150"/>
      <c r="W98" s="23"/>
      <c r="X98" s="159"/>
      <c r="Y98" s="23"/>
      <c r="Z98" s="24"/>
    </row>
    <row r="99" spans="2:26" ht="15" customHeight="1">
      <c r="B99" s="25"/>
      <c r="C99" s="104" t="s">
        <v>54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89"/>
      <c r="P99" s="4"/>
      <c r="Q99" s="90"/>
      <c r="R99" s="4"/>
      <c r="T99" s="103"/>
      <c r="U99" s="4"/>
      <c r="V99" s="92"/>
      <c r="W99" s="4"/>
      <c r="X99" s="93"/>
      <c r="Y99" s="4"/>
      <c r="Z99" s="26"/>
    </row>
    <row r="100" spans="2:26" ht="7.5" customHeight="1">
      <c r="B100" s="25"/>
      <c r="C100" s="5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89"/>
      <c r="P100" s="4"/>
      <c r="Q100" s="90"/>
      <c r="R100" s="4"/>
      <c r="S100" s="4"/>
      <c r="T100" s="103"/>
      <c r="U100" s="4"/>
      <c r="V100" s="92"/>
      <c r="W100" s="4"/>
      <c r="X100" s="93"/>
      <c r="Y100" s="4"/>
      <c r="Z100" s="26"/>
    </row>
    <row r="101" spans="2:26" ht="5.25" customHeight="1">
      <c r="B101" s="2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89"/>
      <c r="P101" s="4"/>
      <c r="Q101" s="90"/>
      <c r="R101" s="4"/>
      <c r="S101" s="4"/>
      <c r="T101" s="103"/>
      <c r="U101" s="4"/>
      <c r="V101" s="92"/>
      <c r="W101" s="4"/>
      <c r="X101" s="93"/>
      <c r="Y101" s="4"/>
      <c r="Z101" s="26"/>
    </row>
    <row r="102" spans="2:26" s="14" customFormat="1" ht="18" customHeight="1" thickBot="1">
      <c r="B102" s="110"/>
      <c r="C102" s="111" t="s">
        <v>4</v>
      </c>
      <c r="D102" s="112" t="s">
        <v>56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29"/>
      <c r="P102" s="112"/>
      <c r="Q102" s="145"/>
      <c r="R102" s="112"/>
      <c r="S102" s="149"/>
      <c r="T102" s="146"/>
      <c r="U102" s="112"/>
      <c r="V102" s="157"/>
      <c r="W102" s="112"/>
      <c r="X102" s="166"/>
      <c r="Y102" s="112"/>
      <c r="Z102" s="114"/>
    </row>
    <row r="103" spans="2:26" s="14" customFormat="1" ht="18" customHeight="1">
      <c r="B103" s="110"/>
      <c r="C103" s="111"/>
      <c r="D103" s="510" t="s">
        <v>57</v>
      </c>
      <c r="E103" s="510"/>
      <c r="F103" s="510"/>
      <c r="G103" s="510"/>
      <c r="H103" s="510"/>
      <c r="I103" s="510"/>
      <c r="J103" s="510"/>
      <c r="K103" s="510"/>
      <c r="L103" s="510"/>
      <c r="M103" s="510"/>
      <c r="N103" s="112"/>
      <c r="O103" s="129"/>
      <c r="P103" s="112"/>
      <c r="Q103" s="145"/>
      <c r="R103" s="112"/>
      <c r="S103" s="112"/>
      <c r="T103" s="146"/>
      <c r="U103" s="112"/>
      <c r="V103" s="157"/>
      <c r="W103" s="112"/>
      <c r="X103" s="166"/>
      <c r="Y103" s="112"/>
      <c r="Z103" s="114"/>
    </row>
    <row r="104" spans="2:26" s="14" customFormat="1" ht="9.75" customHeight="1">
      <c r="B104" s="110"/>
      <c r="C104" s="111"/>
      <c r="D104" s="112" t="s">
        <v>55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29"/>
      <c r="P104" s="112"/>
      <c r="Q104" s="145"/>
      <c r="R104" s="112"/>
      <c r="S104" s="112"/>
      <c r="T104" s="146"/>
      <c r="U104" s="112"/>
      <c r="V104" s="157"/>
      <c r="W104" s="112"/>
      <c r="X104" s="166"/>
      <c r="Y104" s="112"/>
      <c r="Z104" s="114"/>
    </row>
    <row r="105" spans="2:26" ht="14.25" customHeight="1">
      <c r="B105" s="25"/>
      <c r="C105" s="56"/>
      <c r="D105" s="497" t="s">
        <v>132</v>
      </c>
      <c r="E105" s="498"/>
      <c r="F105" s="498"/>
      <c r="G105" s="498"/>
      <c r="H105" s="498"/>
      <c r="I105" s="498"/>
      <c r="J105" s="498"/>
      <c r="K105" s="498"/>
      <c r="L105" s="498"/>
      <c r="M105" s="498"/>
      <c r="N105" s="56"/>
      <c r="O105" s="125"/>
      <c r="P105" s="56"/>
      <c r="Q105" s="137"/>
      <c r="R105" s="56"/>
      <c r="S105" s="56"/>
      <c r="T105" s="138"/>
      <c r="U105" s="56"/>
      <c r="V105" s="153"/>
      <c r="W105" s="56"/>
      <c r="X105" s="162"/>
      <c r="Y105" s="4"/>
      <c r="Z105" s="26"/>
    </row>
    <row r="106" spans="2:26" ht="14.25" customHeight="1">
      <c r="B106" s="25"/>
      <c r="C106" s="56"/>
      <c r="D106" s="497" t="s">
        <v>230</v>
      </c>
      <c r="E106" s="498"/>
      <c r="F106" s="498"/>
      <c r="G106" s="498"/>
      <c r="H106" s="498"/>
      <c r="I106" s="498"/>
      <c r="J106" s="498"/>
      <c r="K106" s="498"/>
      <c r="L106" s="498"/>
      <c r="M106" s="498"/>
      <c r="N106" s="56"/>
      <c r="O106" s="125"/>
      <c r="P106" s="56"/>
      <c r="Q106" s="137"/>
      <c r="R106" s="56"/>
      <c r="S106" s="56"/>
      <c r="T106" s="138"/>
      <c r="U106" s="56"/>
      <c r="V106" s="153"/>
      <c r="W106" s="56"/>
      <c r="X106" s="162"/>
      <c r="Y106" s="4"/>
      <c r="Z106" s="26"/>
    </row>
    <row r="107" spans="2:26" ht="15" customHeight="1">
      <c r="B107" s="25"/>
      <c r="C107" s="4"/>
      <c r="D107" s="477"/>
      <c r="E107" s="78"/>
      <c r="F107" s="78"/>
      <c r="G107" s="78"/>
      <c r="H107" s="78"/>
      <c r="I107" s="78"/>
      <c r="J107" s="78"/>
      <c r="K107" s="78"/>
      <c r="L107" s="78"/>
      <c r="M107" s="78"/>
      <c r="N107" s="4"/>
      <c r="O107" s="89"/>
      <c r="P107" s="4"/>
      <c r="Q107" s="90"/>
      <c r="R107" s="4"/>
      <c r="S107" s="4"/>
      <c r="T107" s="103"/>
      <c r="U107" s="4"/>
      <c r="V107" s="92"/>
      <c r="W107" s="4"/>
      <c r="X107" s="93"/>
      <c r="Y107" s="4"/>
      <c r="Z107" s="26"/>
    </row>
    <row r="108" spans="2:26" ht="9" customHeight="1">
      <c r="B108" s="2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89"/>
      <c r="P108" s="4"/>
      <c r="Q108" s="90"/>
      <c r="R108" s="4"/>
      <c r="S108" s="4"/>
      <c r="T108" s="103"/>
      <c r="U108" s="4"/>
      <c r="V108" s="92"/>
      <c r="W108" s="4"/>
      <c r="X108" s="93"/>
      <c r="Y108" s="4"/>
      <c r="Z108" s="26"/>
    </row>
    <row r="109" spans="2:26" ht="6" customHeight="1">
      <c r="B109" s="2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89"/>
      <c r="P109" s="4"/>
      <c r="Q109" s="90"/>
      <c r="R109" s="4"/>
      <c r="S109" s="4"/>
      <c r="T109" s="103"/>
      <c r="U109" s="4"/>
      <c r="V109" s="92"/>
      <c r="W109" s="4"/>
      <c r="X109" s="93"/>
      <c r="Y109" s="4"/>
      <c r="Z109" s="26"/>
    </row>
    <row r="110" spans="2:26" ht="5.25" customHeight="1">
      <c r="B110" s="2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89"/>
      <c r="P110" s="4"/>
      <c r="Q110" s="90"/>
      <c r="R110" s="4"/>
      <c r="S110" s="4"/>
      <c r="T110" s="103"/>
      <c r="U110" s="4"/>
      <c r="V110" s="92"/>
      <c r="W110" s="4"/>
      <c r="X110" s="93"/>
      <c r="Y110" s="4"/>
      <c r="Z110" s="26"/>
    </row>
    <row r="111" spans="2:26" s="14" customFormat="1" ht="18" customHeight="1" thickBot="1">
      <c r="B111" s="110"/>
      <c r="C111" s="111" t="s">
        <v>4</v>
      </c>
      <c r="D111" s="112" t="s">
        <v>134</v>
      </c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29"/>
      <c r="P111" s="112"/>
      <c r="Q111" s="145"/>
      <c r="R111" s="112"/>
      <c r="S111" s="149"/>
      <c r="T111" s="146"/>
      <c r="U111" s="112"/>
      <c r="V111" s="157"/>
      <c r="W111" s="112"/>
      <c r="X111" s="166"/>
      <c r="Y111" s="112"/>
      <c r="Z111" s="114"/>
    </row>
    <row r="112" spans="2:26" ht="16.5" customHeight="1">
      <c r="B112" s="25"/>
      <c r="C112" s="56"/>
      <c r="D112" s="108" t="s">
        <v>135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125"/>
      <c r="P112" s="56"/>
      <c r="Q112" s="137"/>
      <c r="R112" s="56"/>
      <c r="S112" s="56"/>
      <c r="T112" s="138"/>
      <c r="U112" s="56"/>
      <c r="V112" s="153"/>
      <c r="W112" s="56"/>
      <c r="X112" s="162"/>
      <c r="Y112" s="4"/>
      <c r="Z112" s="26"/>
    </row>
    <row r="113" spans="2:26" ht="15" customHeight="1">
      <c r="B113" s="25"/>
      <c r="C113" s="4"/>
      <c r="D113" s="477"/>
      <c r="E113" s="78"/>
      <c r="F113" s="78"/>
      <c r="G113" s="78"/>
      <c r="H113" s="78"/>
      <c r="I113" s="78"/>
      <c r="J113" s="78"/>
      <c r="K113" s="78"/>
      <c r="L113" s="78"/>
      <c r="M113" s="78"/>
      <c r="N113" s="4"/>
      <c r="O113" s="89"/>
      <c r="P113" s="4"/>
      <c r="Q113" s="90"/>
      <c r="R113" s="4"/>
      <c r="S113" s="4"/>
      <c r="T113" s="103"/>
      <c r="U113" s="4"/>
      <c r="V113" s="92"/>
      <c r="W113" s="4"/>
      <c r="X113" s="93"/>
      <c r="Y113" s="4"/>
      <c r="Z113" s="26"/>
    </row>
    <row r="114" spans="2:26" ht="9" customHeight="1">
      <c r="B114" s="2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89"/>
      <c r="P114" s="4"/>
      <c r="Q114" s="90"/>
      <c r="R114" s="4"/>
      <c r="S114" s="4"/>
      <c r="T114" s="103"/>
      <c r="U114" s="4"/>
      <c r="V114" s="92"/>
      <c r="W114" s="4"/>
      <c r="X114" s="93"/>
      <c r="Y114" s="4"/>
      <c r="Z114" s="26"/>
    </row>
    <row r="115" spans="2:26" ht="5.25" customHeight="1" thickBot="1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123"/>
      <c r="P115" s="28"/>
      <c r="Q115" s="133"/>
      <c r="R115" s="28"/>
      <c r="S115" s="28"/>
      <c r="T115" s="134"/>
      <c r="U115" s="28"/>
      <c r="V115" s="151"/>
      <c r="W115" s="28"/>
      <c r="X115" s="160"/>
      <c r="Y115" s="28"/>
      <c r="Z115" s="29"/>
    </row>
    <row r="116" spans="15:24" ht="9" customHeight="1" thickBot="1">
      <c r="O116" s="89"/>
      <c r="Q116" s="90"/>
      <c r="R116" s="4"/>
      <c r="S116" s="4"/>
      <c r="T116" s="103"/>
      <c r="V116" s="92"/>
      <c r="X116" s="93"/>
    </row>
    <row r="117" spans="2:26" ht="6" customHeight="1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122"/>
      <c r="P117" s="23"/>
      <c r="Q117" s="131"/>
      <c r="R117" s="23"/>
      <c r="S117" s="23"/>
      <c r="T117" s="132"/>
      <c r="U117" s="23"/>
      <c r="V117" s="150"/>
      <c r="W117" s="23"/>
      <c r="X117" s="159"/>
      <c r="Y117" s="23"/>
      <c r="Z117" s="24"/>
    </row>
    <row r="118" spans="2:26" ht="15" customHeight="1">
      <c r="B118" s="25"/>
      <c r="C118" s="104" t="s">
        <v>71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89"/>
      <c r="P118" s="4"/>
      <c r="Q118" s="90"/>
      <c r="R118" s="4"/>
      <c r="T118" s="103"/>
      <c r="U118" s="4"/>
      <c r="V118" s="92"/>
      <c r="W118" s="4"/>
      <c r="X118" s="93"/>
      <c r="Y118" s="4"/>
      <c r="Z118" s="26"/>
    </row>
    <row r="119" spans="2:26" ht="5.25" customHeight="1">
      <c r="B119" s="25"/>
      <c r="C119" s="10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89"/>
      <c r="P119" s="4"/>
      <c r="Q119" s="90"/>
      <c r="R119" s="4"/>
      <c r="S119" s="57"/>
      <c r="T119" s="103"/>
      <c r="U119" s="4"/>
      <c r="V119" s="92"/>
      <c r="W119" s="4"/>
      <c r="X119" s="93"/>
      <c r="Y119" s="4"/>
      <c r="Z119" s="26"/>
    </row>
    <row r="120" spans="2:26" ht="18" customHeight="1" thickBot="1">
      <c r="B120" s="25"/>
      <c r="C120" s="104" t="s">
        <v>74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89"/>
      <c r="P120" s="4"/>
      <c r="Q120" s="90"/>
      <c r="R120" s="4"/>
      <c r="S120" s="149"/>
      <c r="T120" s="103"/>
      <c r="U120" s="4"/>
      <c r="V120" s="92"/>
      <c r="W120" s="4"/>
      <c r="X120" s="93"/>
      <c r="Y120" s="4"/>
      <c r="Z120" s="26"/>
    </row>
    <row r="121" spans="2:26" ht="8.25" customHeight="1">
      <c r="B121" s="25"/>
      <c r="C121" s="10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89"/>
      <c r="P121" s="4"/>
      <c r="Q121" s="90"/>
      <c r="R121" s="4"/>
      <c r="S121" s="57"/>
      <c r="T121" s="103"/>
      <c r="U121" s="4"/>
      <c r="V121" s="92"/>
      <c r="W121" s="4"/>
      <c r="X121" s="93"/>
      <c r="Y121" s="4"/>
      <c r="Z121" s="26"/>
    </row>
    <row r="122" spans="2:26" ht="20.25" customHeight="1">
      <c r="B122" s="25"/>
      <c r="C122" s="112" t="s">
        <v>40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89"/>
      <c r="P122" s="4"/>
      <c r="Q122" s="90"/>
      <c r="R122" s="4"/>
      <c r="S122" s="57"/>
      <c r="T122" s="103"/>
      <c r="U122" s="4"/>
      <c r="V122" s="92"/>
      <c r="W122" s="4"/>
      <c r="X122" s="93"/>
      <c r="Y122" s="4"/>
      <c r="Z122" s="26"/>
    </row>
    <row r="123" spans="2:26" ht="5.25" customHeight="1">
      <c r="B123" s="2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89"/>
      <c r="P123" s="4"/>
      <c r="Q123" s="90"/>
      <c r="R123" s="4"/>
      <c r="S123" s="4"/>
      <c r="T123" s="103"/>
      <c r="U123" s="4"/>
      <c r="V123" s="92"/>
      <c r="W123" s="4"/>
      <c r="X123" s="93"/>
      <c r="Y123" s="4"/>
      <c r="Z123" s="26"/>
    </row>
    <row r="124" spans="2:26" s="14" customFormat="1" ht="18" customHeight="1" thickBot="1">
      <c r="B124" s="110"/>
      <c r="C124" s="111" t="s">
        <v>4</v>
      </c>
      <c r="D124" s="112" t="s">
        <v>73</v>
      </c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29"/>
      <c r="P124" s="112"/>
      <c r="Q124" s="145"/>
      <c r="R124" s="112"/>
      <c r="S124" s="149"/>
      <c r="T124" s="146"/>
      <c r="U124" s="112"/>
      <c r="V124" s="157"/>
      <c r="W124" s="112"/>
      <c r="X124" s="166"/>
      <c r="Y124" s="112"/>
      <c r="Z124" s="114"/>
    </row>
    <row r="125" spans="2:26" s="14" customFormat="1" ht="18" customHeight="1">
      <c r="B125" s="110"/>
      <c r="C125" s="111"/>
      <c r="D125" s="112" t="s">
        <v>240</v>
      </c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29"/>
      <c r="P125" s="112"/>
      <c r="Q125" s="145"/>
      <c r="R125" s="112"/>
      <c r="S125" s="116"/>
      <c r="T125" s="146"/>
      <c r="U125" s="112"/>
      <c r="V125" s="157"/>
      <c r="W125" s="112"/>
      <c r="X125" s="166"/>
      <c r="Y125" s="112"/>
      <c r="Z125" s="114"/>
    </row>
    <row r="126" spans="2:26" ht="15" customHeight="1">
      <c r="B126" s="25"/>
      <c r="C126" s="4"/>
      <c r="D126" s="477"/>
      <c r="E126" s="78"/>
      <c r="F126" s="78"/>
      <c r="G126" s="78"/>
      <c r="H126" s="78"/>
      <c r="I126" s="78"/>
      <c r="J126" s="78"/>
      <c r="K126" s="78"/>
      <c r="L126" s="78"/>
      <c r="M126" s="78"/>
      <c r="N126" s="4"/>
      <c r="O126" s="89"/>
      <c r="P126" s="4"/>
      <c r="Q126" s="90"/>
      <c r="R126" s="4"/>
      <c r="S126" s="4"/>
      <c r="T126" s="103"/>
      <c r="U126" s="4"/>
      <c r="V126" s="92"/>
      <c r="W126" s="4"/>
      <c r="X126" s="93"/>
      <c r="Y126" s="4"/>
      <c r="Z126" s="26"/>
    </row>
    <row r="127" spans="2:26" ht="9" customHeight="1">
      <c r="B127" s="2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89"/>
      <c r="P127" s="4"/>
      <c r="Q127" s="90"/>
      <c r="R127" s="4"/>
      <c r="S127" s="4"/>
      <c r="T127" s="103"/>
      <c r="U127" s="4"/>
      <c r="V127" s="92"/>
      <c r="W127" s="4"/>
      <c r="X127" s="93"/>
      <c r="Y127" s="4"/>
      <c r="Z127" s="26"/>
    </row>
    <row r="128" spans="2:26" ht="7.5" customHeight="1">
      <c r="B128" s="25"/>
      <c r="C128" s="5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89"/>
      <c r="P128" s="4"/>
      <c r="Q128" s="90"/>
      <c r="R128" s="4"/>
      <c r="S128" s="4"/>
      <c r="T128" s="103"/>
      <c r="U128" s="4"/>
      <c r="V128" s="92"/>
      <c r="W128" s="4"/>
      <c r="X128" s="93"/>
      <c r="Y128" s="4"/>
      <c r="Z128" s="26"/>
    </row>
    <row r="129" spans="2:26" ht="5.25" customHeight="1">
      <c r="B129" s="2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89"/>
      <c r="P129" s="4"/>
      <c r="Q129" s="90"/>
      <c r="R129" s="4"/>
      <c r="S129" s="4"/>
      <c r="T129" s="103"/>
      <c r="U129" s="4"/>
      <c r="V129" s="92"/>
      <c r="W129" s="4"/>
      <c r="X129" s="93"/>
      <c r="Y129" s="4"/>
      <c r="Z129" s="26"/>
    </row>
    <row r="130" spans="2:26" s="14" customFormat="1" ht="18" customHeight="1" thickBot="1">
      <c r="B130" s="110"/>
      <c r="C130" s="111" t="s">
        <v>4</v>
      </c>
      <c r="D130" s="489" t="s">
        <v>143</v>
      </c>
      <c r="E130" s="489"/>
      <c r="F130" s="489"/>
      <c r="G130" s="489"/>
      <c r="H130" s="489"/>
      <c r="I130" s="489"/>
      <c r="J130" s="489"/>
      <c r="K130" s="489"/>
      <c r="L130" s="489"/>
      <c r="M130" s="489"/>
      <c r="N130" s="112"/>
      <c r="O130" s="129"/>
      <c r="P130" s="112"/>
      <c r="Q130" s="145"/>
      <c r="R130" s="112"/>
      <c r="S130" s="149"/>
      <c r="T130" s="146"/>
      <c r="U130" s="112"/>
      <c r="V130" s="157"/>
      <c r="W130" s="112"/>
      <c r="X130" s="166"/>
      <c r="Y130" s="112"/>
      <c r="Z130" s="114"/>
    </row>
    <row r="131" spans="2:26" s="14" customFormat="1" ht="11.25" customHeight="1">
      <c r="B131" s="110"/>
      <c r="C131" s="111"/>
      <c r="D131" s="492"/>
      <c r="E131" s="492"/>
      <c r="F131" s="492"/>
      <c r="G131" s="492"/>
      <c r="H131" s="492"/>
      <c r="I131" s="492"/>
      <c r="J131" s="492"/>
      <c r="K131" s="492"/>
      <c r="L131" s="492"/>
      <c r="M131" s="492"/>
      <c r="N131" s="112"/>
      <c r="O131" s="129"/>
      <c r="P131" s="112"/>
      <c r="Q131" s="145"/>
      <c r="R131" s="112"/>
      <c r="S131" s="116"/>
      <c r="T131" s="146"/>
      <c r="U131" s="112"/>
      <c r="V131" s="157"/>
      <c r="W131" s="112"/>
      <c r="X131" s="166"/>
      <c r="Y131" s="112"/>
      <c r="Z131" s="114"/>
    </row>
    <row r="132" spans="2:26" ht="15" customHeight="1">
      <c r="B132" s="25"/>
      <c r="C132" s="4"/>
      <c r="D132" s="477"/>
      <c r="E132" s="78"/>
      <c r="F132" s="78"/>
      <c r="G132" s="78"/>
      <c r="H132" s="78"/>
      <c r="I132" s="78"/>
      <c r="J132" s="78"/>
      <c r="K132" s="78"/>
      <c r="L132" s="78"/>
      <c r="M132" s="78"/>
      <c r="N132" s="4"/>
      <c r="O132" s="89"/>
      <c r="P132" s="4"/>
      <c r="Q132" s="90"/>
      <c r="R132" s="4"/>
      <c r="S132" s="4"/>
      <c r="T132" s="103"/>
      <c r="U132" s="4"/>
      <c r="V132" s="92"/>
      <c r="W132" s="4"/>
      <c r="X132" s="93"/>
      <c r="Y132" s="4"/>
      <c r="Z132" s="26"/>
    </row>
    <row r="133" spans="2:26" ht="6" customHeight="1">
      <c r="B133" s="2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89"/>
      <c r="P133" s="4"/>
      <c r="Q133" s="90"/>
      <c r="R133" s="4"/>
      <c r="S133" s="4"/>
      <c r="T133" s="103"/>
      <c r="U133" s="4"/>
      <c r="V133" s="92"/>
      <c r="W133" s="4"/>
      <c r="X133" s="93"/>
      <c r="Y133" s="4"/>
      <c r="Z133" s="26"/>
    </row>
    <row r="134" spans="2:26" ht="5.25" customHeight="1" thickBot="1">
      <c r="B134" s="27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123"/>
      <c r="P134" s="28"/>
      <c r="Q134" s="133"/>
      <c r="R134" s="28"/>
      <c r="S134" s="28"/>
      <c r="T134" s="134"/>
      <c r="U134" s="28"/>
      <c r="V134" s="151"/>
      <c r="W134" s="28"/>
      <c r="X134" s="160"/>
      <c r="Y134" s="28"/>
      <c r="Z134" s="29"/>
    </row>
    <row r="135" spans="15:24" ht="9" customHeight="1" thickBot="1">
      <c r="O135" s="89"/>
      <c r="Q135" s="90"/>
      <c r="R135" s="4"/>
      <c r="S135" s="4"/>
      <c r="T135" s="103"/>
      <c r="V135" s="92"/>
      <c r="X135" s="93"/>
    </row>
    <row r="136" spans="2:26" ht="6" customHeight="1"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122"/>
      <c r="P136" s="23"/>
      <c r="Q136" s="131"/>
      <c r="R136" s="23"/>
      <c r="S136" s="23"/>
      <c r="T136" s="132"/>
      <c r="U136" s="23"/>
      <c r="V136" s="150"/>
      <c r="W136" s="23"/>
      <c r="X136" s="159"/>
      <c r="Y136" s="23"/>
      <c r="Z136" s="24"/>
    </row>
    <row r="137" spans="2:26" ht="15" customHeight="1">
      <c r="B137" s="25"/>
      <c r="C137" s="104" t="s">
        <v>76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89"/>
      <c r="P137" s="4"/>
      <c r="Q137" s="90"/>
      <c r="R137" s="4"/>
      <c r="T137" s="103"/>
      <c r="U137" s="4"/>
      <c r="V137" s="92"/>
      <c r="W137" s="4"/>
      <c r="X137" s="93"/>
      <c r="Y137" s="4"/>
      <c r="Z137" s="26"/>
    </row>
    <row r="138" spans="2:26" ht="6" customHeight="1">
      <c r="B138" s="2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89"/>
      <c r="P138" s="4"/>
      <c r="Q138" s="90"/>
      <c r="R138" s="4"/>
      <c r="S138" s="4"/>
      <c r="T138" s="103"/>
      <c r="U138" s="4"/>
      <c r="V138" s="92"/>
      <c r="W138" s="4"/>
      <c r="X138" s="93"/>
      <c r="Y138" s="4"/>
      <c r="Z138" s="26"/>
    </row>
    <row r="139" spans="2:26" ht="18" customHeight="1" thickBot="1">
      <c r="B139" s="25"/>
      <c r="C139" s="104" t="s">
        <v>136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89"/>
      <c r="P139" s="4"/>
      <c r="Q139" s="90"/>
      <c r="R139" s="4"/>
      <c r="S139" s="149"/>
      <c r="T139" s="103"/>
      <c r="U139" s="4"/>
      <c r="V139" s="92"/>
      <c r="W139" s="4"/>
      <c r="X139" s="93"/>
      <c r="Y139" s="4"/>
      <c r="Z139" s="26"/>
    </row>
    <row r="140" spans="2:26" ht="4.5" customHeight="1">
      <c r="B140" s="25"/>
      <c r="C140" s="10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89"/>
      <c r="P140" s="4"/>
      <c r="Q140" s="90"/>
      <c r="R140" s="4"/>
      <c r="S140" s="57"/>
      <c r="T140" s="103"/>
      <c r="U140" s="4"/>
      <c r="V140" s="92"/>
      <c r="W140" s="4"/>
      <c r="X140" s="93"/>
      <c r="Y140" s="4"/>
      <c r="Z140" s="26"/>
    </row>
    <row r="141" spans="2:26" ht="15" customHeight="1">
      <c r="B141" s="25"/>
      <c r="C141" s="104" t="s">
        <v>40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89"/>
      <c r="P141" s="4"/>
      <c r="Q141" s="90"/>
      <c r="R141" s="4"/>
      <c r="S141" s="57"/>
      <c r="T141" s="103"/>
      <c r="U141" s="4"/>
      <c r="V141" s="92"/>
      <c r="W141" s="4"/>
      <c r="X141" s="93"/>
      <c r="Y141" s="4"/>
      <c r="Z141" s="26"/>
    </row>
    <row r="142" spans="2:26" ht="5.25" customHeight="1">
      <c r="B142" s="2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89"/>
      <c r="P142" s="4"/>
      <c r="Q142" s="90"/>
      <c r="R142" s="4"/>
      <c r="S142" s="4"/>
      <c r="T142" s="103"/>
      <c r="U142" s="4"/>
      <c r="V142" s="92"/>
      <c r="W142" s="4"/>
      <c r="X142" s="93"/>
      <c r="Y142" s="4"/>
      <c r="Z142" s="26"/>
    </row>
    <row r="143" spans="2:26" s="14" customFormat="1" ht="18" customHeight="1" thickBot="1">
      <c r="B143" s="110"/>
      <c r="C143" s="112" t="s">
        <v>105</v>
      </c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29"/>
      <c r="P143" s="112"/>
      <c r="Q143" s="145"/>
      <c r="R143" s="112"/>
      <c r="S143" s="149"/>
      <c r="T143" s="146"/>
      <c r="U143" s="112"/>
      <c r="V143" s="157"/>
      <c r="W143" s="112"/>
      <c r="X143" s="166"/>
      <c r="Y143" s="112"/>
      <c r="Z143" s="114"/>
    </row>
    <row r="144" spans="2:26" s="68" customFormat="1" ht="25.5" customHeight="1">
      <c r="B144" s="69"/>
      <c r="C144" s="493" t="s">
        <v>106</v>
      </c>
      <c r="D144" s="493"/>
      <c r="E144" s="493"/>
      <c r="F144" s="493"/>
      <c r="G144" s="493"/>
      <c r="H144" s="493"/>
      <c r="I144" s="493"/>
      <c r="J144" s="493"/>
      <c r="K144" s="493"/>
      <c r="L144" s="493"/>
      <c r="M144" s="493"/>
      <c r="N144" s="105"/>
      <c r="O144" s="130"/>
      <c r="P144" s="105"/>
      <c r="Q144" s="147"/>
      <c r="R144" s="105"/>
      <c r="S144" s="105"/>
      <c r="T144" s="148"/>
      <c r="U144" s="105"/>
      <c r="V144" s="158"/>
      <c r="W144" s="105"/>
      <c r="X144" s="167"/>
      <c r="Y144" s="73"/>
      <c r="Z144" s="70"/>
    </row>
    <row r="145" spans="2:26" ht="15" customHeight="1">
      <c r="B145" s="25"/>
      <c r="C145" s="4"/>
      <c r="D145" s="477"/>
      <c r="E145" s="78"/>
      <c r="F145" s="78"/>
      <c r="G145" s="78"/>
      <c r="H145" s="78"/>
      <c r="I145" s="78"/>
      <c r="J145" s="78"/>
      <c r="K145" s="78"/>
      <c r="L145" s="78"/>
      <c r="M145" s="78"/>
      <c r="N145" s="4"/>
      <c r="O145" s="89"/>
      <c r="P145" s="4"/>
      <c r="Q145" s="90"/>
      <c r="R145" s="4"/>
      <c r="S145" s="4"/>
      <c r="T145" s="103"/>
      <c r="U145" s="4"/>
      <c r="V145" s="92"/>
      <c r="W145" s="4"/>
      <c r="X145" s="93"/>
      <c r="Y145" s="4"/>
      <c r="Z145" s="26"/>
    </row>
    <row r="146" spans="2:26" ht="9" customHeight="1">
      <c r="B146" s="2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89"/>
      <c r="P146" s="4"/>
      <c r="Q146" s="90"/>
      <c r="R146" s="4"/>
      <c r="S146" s="4"/>
      <c r="T146" s="103"/>
      <c r="U146" s="4"/>
      <c r="V146" s="92"/>
      <c r="W146" s="4"/>
      <c r="X146" s="93"/>
      <c r="Y146" s="4"/>
      <c r="Z146" s="26"/>
    </row>
    <row r="147" spans="2:26" ht="5.25" customHeight="1" thickBot="1">
      <c r="B147" s="27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123"/>
      <c r="P147" s="28"/>
      <c r="Q147" s="133"/>
      <c r="R147" s="28"/>
      <c r="S147" s="28"/>
      <c r="T147" s="134"/>
      <c r="U147" s="28"/>
      <c r="V147" s="151"/>
      <c r="W147" s="28"/>
      <c r="X147" s="160"/>
      <c r="Y147" s="28"/>
      <c r="Z147" s="29"/>
    </row>
    <row r="148" spans="15:24" ht="9" customHeight="1" thickBot="1">
      <c r="O148" s="89"/>
      <c r="Q148" s="90"/>
      <c r="R148" s="4"/>
      <c r="S148" s="4"/>
      <c r="T148" s="103"/>
      <c r="V148" s="92"/>
      <c r="X148" s="93"/>
    </row>
    <row r="149" spans="2:26" ht="6" customHeight="1"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122"/>
      <c r="P149" s="23"/>
      <c r="Q149" s="131"/>
      <c r="R149" s="23"/>
      <c r="S149" s="23"/>
      <c r="T149" s="132"/>
      <c r="U149" s="23"/>
      <c r="V149" s="150"/>
      <c r="W149" s="23"/>
      <c r="X149" s="159"/>
      <c r="Y149" s="23"/>
      <c r="Z149" s="24"/>
    </row>
    <row r="150" spans="2:26" s="4" customFormat="1" ht="15" customHeight="1">
      <c r="B150" s="25"/>
      <c r="C150" s="112" t="s">
        <v>107</v>
      </c>
      <c r="O150" s="89"/>
      <c r="Q150" s="90"/>
      <c r="T150" s="103"/>
      <c r="V150" s="92"/>
      <c r="X150" s="93"/>
      <c r="Z150" s="26"/>
    </row>
    <row r="151" spans="2:26" s="14" customFormat="1" ht="18" customHeight="1" thickBot="1">
      <c r="B151" s="110"/>
      <c r="C151" s="112" t="s">
        <v>78</v>
      </c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113"/>
      <c r="O151" s="127"/>
      <c r="P151" s="113"/>
      <c r="Q151" s="141"/>
      <c r="R151" s="113"/>
      <c r="S151" s="149"/>
      <c r="T151" s="142"/>
      <c r="U151" s="113"/>
      <c r="V151" s="155"/>
      <c r="W151" s="113"/>
      <c r="X151" s="164"/>
      <c r="Y151" s="67"/>
      <c r="Z151" s="114"/>
    </row>
    <row r="152" spans="2:26" s="68" customFormat="1" ht="15" customHeight="1">
      <c r="B152" s="69"/>
      <c r="C152" s="105" t="s">
        <v>58</v>
      </c>
      <c r="D152" s="74"/>
      <c r="E152" s="74"/>
      <c r="F152" s="74"/>
      <c r="G152" s="74"/>
      <c r="H152" s="74"/>
      <c r="I152" s="74"/>
      <c r="J152" s="74"/>
      <c r="K152" s="73"/>
      <c r="L152" s="73"/>
      <c r="M152" s="73"/>
      <c r="N152" s="73"/>
      <c r="O152" s="179"/>
      <c r="P152" s="73"/>
      <c r="Q152" s="180"/>
      <c r="R152" s="73"/>
      <c r="S152" s="73"/>
      <c r="T152" s="181"/>
      <c r="U152" s="73"/>
      <c r="V152" s="182"/>
      <c r="W152" s="73"/>
      <c r="X152" s="183"/>
      <c r="Y152" s="73"/>
      <c r="Z152" s="70"/>
    </row>
    <row r="153" spans="2:26" ht="15" customHeight="1">
      <c r="B153" s="25"/>
      <c r="C153" s="4"/>
      <c r="D153" s="477"/>
      <c r="E153" s="78"/>
      <c r="F153" s="78"/>
      <c r="G153" s="78"/>
      <c r="H153" s="78"/>
      <c r="I153" s="78"/>
      <c r="J153" s="78"/>
      <c r="K153" s="78"/>
      <c r="L153" s="78"/>
      <c r="M153" s="78"/>
      <c r="N153" s="4"/>
      <c r="O153" s="89"/>
      <c r="P153" s="4"/>
      <c r="Q153" s="90"/>
      <c r="R153" s="4"/>
      <c r="S153" s="4"/>
      <c r="T153" s="103"/>
      <c r="U153" s="4"/>
      <c r="V153" s="92"/>
      <c r="W153" s="4"/>
      <c r="X153" s="93"/>
      <c r="Y153" s="4"/>
      <c r="Z153" s="26"/>
    </row>
    <row r="154" spans="2:26" s="4" customFormat="1" ht="9" customHeight="1">
      <c r="B154" s="25"/>
      <c r="O154" s="89"/>
      <c r="Q154" s="90"/>
      <c r="T154" s="103"/>
      <c r="V154" s="92"/>
      <c r="X154" s="93"/>
      <c r="Z154" s="26"/>
    </row>
    <row r="155" spans="2:26" ht="5.25" customHeight="1" thickBot="1">
      <c r="B155" s="2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89"/>
      <c r="P155" s="4"/>
      <c r="Q155" s="90"/>
      <c r="R155" s="4"/>
      <c r="S155" s="4"/>
      <c r="T155" s="103"/>
      <c r="U155" s="4"/>
      <c r="V155" s="92"/>
      <c r="W155" s="4"/>
      <c r="X155" s="93"/>
      <c r="Y155" s="4"/>
      <c r="Z155" s="28"/>
    </row>
    <row r="156" spans="2:26" ht="5.25" customHeight="1"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122"/>
      <c r="P156" s="23"/>
      <c r="Q156" s="131"/>
      <c r="R156" s="23"/>
      <c r="S156" s="23"/>
      <c r="T156" s="132"/>
      <c r="U156" s="23"/>
      <c r="V156" s="150"/>
      <c r="W156" s="23"/>
      <c r="X156" s="159"/>
      <c r="Y156" s="23"/>
      <c r="Z156" s="24"/>
    </row>
    <row r="157" spans="2:26" ht="18" customHeight="1" thickBot="1">
      <c r="B157" s="25"/>
      <c r="C157" s="495" t="s">
        <v>18</v>
      </c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109"/>
      <c r="O157" s="128"/>
      <c r="P157" s="109"/>
      <c r="Q157" s="143"/>
      <c r="R157" s="4"/>
      <c r="S157" s="149"/>
      <c r="T157" s="144"/>
      <c r="U157" s="109"/>
      <c r="V157" s="156"/>
      <c r="W157" s="109"/>
      <c r="X157" s="165"/>
      <c r="Y157" s="4"/>
      <c r="Z157" s="26"/>
    </row>
    <row r="158" spans="2:26" ht="7.5" customHeight="1">
      <c r="B158" s="25"/>
      <c r="C158" s="481"/>
      <c r="D158" s="481"/>
      <c r="E158" s="481"/>
      <c r="F158" s="481"/>
      <c r="G158" s="481"/>
      <c r="H158" s="481"/>
      <c r="I158" s="481"/>
      <c r="J158" s="481"/>
      <c r="K158" s="481"/>
      <c r="L158" s="481"/>
      <c r="M158" s="481"/>
      <c r="N158" s="4"/>
      <c r="O158" s="89"/>
      <c r="P158" s="4"/>
      <c r="Q158" s="90"/>
      <c r="R158" s="4"/>
      <c r="S158" s="4"/>
      <c r="T158" s="103"/>
      <c r="U158" s="4"/>
      <c r="V158" s="92"/>
      <c r="W158" s="4"/>
      <c r="X158" s="93"/>
      <c r="Y158" s="4"/>
      <c r="Z158" s="26"/>
    </row>
    <row r="159" spans="2:26" ht="15" customHeight="1">
      <c r="B159" s="25"/>
      <c r="C159" s="477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4"/>
      <c r="O159" s="89"/>
      <c r="P159" s="4"/>
      <c r="Q159" s="90"/>
      <c r="R159" s="4"/>
      <c r="S159" s="4"/>
      <c r="T159" s="103"/>
      <c r="U159" s="4"/>
      <c r="V159" s="92"/>
      <c r="W159" s="4"/>
      <c r="X159" s="93"/>
      <c r="Y159" s="4"/>
      <c r="Z159" s="26"/>
    </row>
    <row r="160" spans="2:26" ht="5.25" customHeight="1" thickBot="1">
      <c r="B160" s="27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123"/>
      <c r="P160" s="28"/>
      <c r="Q160" s="133"/>
      <c r="R160" s="28"/>
      <c r="S160" s="28"/>
      <c r="T160" s="134"/>
      <c r="U160" s="28"/>
      <c r="V160" s="151"/>
      <c r="W160" s="28"/>
      <c r="X160" s="160"/>
      <c r="Y160" s="28"/>
      <c r="Z160" s="29"/>
    </row>
    <row r="161" spans="15:24" ht="5.25" customHeight="1">
      <c r="O161" s="89"/>
      <c r="Q161" s="90"/>
      <c r="R161" s="4"/>
      <c r="S161" s="4"/>
      <c r="T161" s="103"/>
      <c r="V161" s="92"/>
      <c r="X161" s="93"/>
    </row>
    <row r="162" spans="15:24" s="4" customFormat="1" ht="5.25" customHeight="1" thickBot="1">
      <c r="O162" s="117"/>
      <c r="Q162" s="118"/>
      <c r="R162" s="119"/>
      <c r="S162" s="119"/>
      <c r="T162" s="120"/>
      <c r="V162" s="121"/>
      <c r="X162" s="168"/>
    </row>
    <row r="163" s="4" customFormat="1" ht="5.25" customHeight="1"/>
    <row r="164" ht="19.5" customHeight="1" thickBot="1"/>
    <row r="165" spans="2:25" ht="18.75" customHeight="1" thickBot="1">
      <c r="B165" s="81" t="s">
        <v>130</v>
      </c>
      <c r="C165" s="82"/>
      <c r="D165" s="32"/>
      <c r="E165" s="33"/>
      <c r="F165" s="34"/>
      <c r="G165" s="34"/>
      <c r="H165" s="34"/>
      <c r="I165" s="34"/>
      <c r="J165" s="34"/>
      <c r="K165" s="34"/>
      <c r="L165" s="34"/>
      <c r="M165" s="35"/>
      <c r="O165" s="83"/>
      <c r="P165" s="4"/>
      <c r="Q165" s="84"/>
      <c r="R165" s="85"/>
      <c r="S165" s="500"/>
      <c r="T165" s="86"/>
      <c r="U165" s="4"/>
      <c r="V165" s="87"/>
      <c r="W165" s="4"/>
      <c r="X165" s="88"/>
      <c r="Y165" s="4"/>
    </row>
    <row r="166" spans="3:25" ht="15.75" customHeight="1">
      <c r="C166" s="55"/>
      <c r="D166" s="30"/>
      <c r="E166" s="31"/>
      <c r="O166" s="89"/>
      <c r="P166" s="4"/>
      <c r="Q166" s="90"/>
      <c r="R166" s="4"/>
      <c r="S166" s="501"/>
      <c r="T166" s="91"/>
      <c r="U166" s="4"/>
      <c r="V166" s="92"/>
      <c r="W166" s="4"/>
      <c r="X166" s="93"/>
      <c r="Y166" s="4"/>
    </row>
    <row r="167" spans="15:25" ht="21" customHeight="1">
      <c r="O167" s="89"/>
      <c r="P167" s="4"/>
      <c r="Q167" s="90"/>
      <c r="R167" s="4"/>
      <c r="S167" s="501"/>
      <c r="T167" s="91"/>
      <c r="U167" s="4"/>
      <c r="V167" s="92"/>
      <c r="W167" s="4"/>
      <c r="X167" s="93"/>
      <c r="Y167" s="4"/>
    </row>
    <row r="168" spans="2:25" s="14" customFormat="1" ht="18">
      <c r="B168" s="94" t="s">
        <v>148</v>
      </c>
      <c r="C168" s="95"/>
      <c r="D168" s="96"/>
      <c r="E168" s="97"/>
      <c r="F168" s="98"/>
      <c r="G168" s="98"/>
      <c r="H168" s="98"/>
      <c r="I168" s="98"/>
      <c r="J168" s="98"/>
      <c r="K168" s="98"/>
      <c r="L168" s="98"/>
      <c r="M168" s="98"/>
      <c r="N168" s="67"/>
      <c r="O168" s="99"/>
      <c r="P168" s="67"/>
      <c r="Q168" s="100"/>
      <c r="R168" s="67"/>
      <c r="S168" s="501"/>
      <c r="T168" s="91"/>
      <c r="U168" s="67"/>
      <c r="V168" s="101"/>
      <c r="W168" s="67"/>
      <c r="X168" s="102"/>
      <c r="Y168" s="67"/>
    </row>
    <row r="169" spans="15:25" ht="13.5" customHeight="1" thickBot="1">
      <c r="O169" s="89"/>
      <c r="P169" s="4"/>
      <c r="Q169" s="90"/>
      <c r="R169" s="4"/>
      <c r="S169" s="4"/>
      <c r="T169" s="103"/>
      <c r="U169" s="4"/>
      <c r="V169" s="92"/>
      <c r="W169" s="4"/>
      <c r="X169" s="93"/>
      <c r="Y169" s="4"/>
    </row>
    <row r="170" spans="2:26" s="4" customFormat="1" ht="5.25" customHeight="1"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22"/>
      <c r="P170" s="23"/>
      <c r="Q170" s="131"/>
      <c r="R170" s="23"/>
      <c r="S170" s="23"/>
      <c r="T170" s="132"/>
      <c r="U170" s="23"/>
      <c r="V170" s="150"/>
      <c r="W170" s="23"/>
      <c r="X170" s="159"/>
      <c r="Y170" s="23"/>
      <c r="Z170" s="24"/>
    </row>
    <row r="171" spans="2:26" s="4" customFormat="1" ht="5.25" customHeight="1">
      <c r="B171" s="25"/>
      <c r="O171" s="89"/>
      <c r="Q171" s="90"/>
      <c r="T171" s="103"/>
      <c r="V171" s="92"/>
      <c r="X171" s="93"/>
      <c r="Z171" s="26"/>
    </row>
    <row r="172" spans="2:26" s="14" customFormat="1" ht="18" customHeight="1" thickBot="1">
      <c r="B172" s="110"/>
      <c r="C172" s="489" t="s">
        <v>59</v>
      </c>
      <c r="D172" s="481"/>
      <c r="E172" s="481"/>
      <c r="F172" s="481"/>
      <c r="G172" s="481"/>
      <c r="H172" s="481"/>
      <c r="I172" s="481"/>
      <c r="J172" s="481"/>
      <c r="K172" s="481"/>
      <c r="L172" s="481"/>
      <c r="M172" s="481"/>
      <c r="N172" s="113"/>
      <c r="O172" s="127"/>
      <c r="P172" s="113"/>
      <c r="Q172" s="141"/>
      <c r="R172" s="113"/>
      <c r="S172" s="149"/>
      <c r="T172" s="142"/>
      <c r="U172" s="113"/>
      <c r="V172" s="155"/>
      <c r="W172" s="113"/>
      <c r="X172" s="164"/>
      <c r="Y172" s="67"/>
      <c r="Z172" s="114"/>
    </row>
    <row r="173" spans="2:26" ht="11.25" customHeight="1">
      <c r="B173" s="25"/>
      <c r="C173" s="481"/>
      <c r="D173" s="481"/>
      <c r="E173" s="481"/>
      <c r="F173" s="481"/>
      <c r="G173" s="481"/>
      <c r="H173" s="481"/>
      <c r="I173" s="481"/>
      <c r="J173" s="481"/>
      <c r="K173" s="481"/>
      <c r="L173" s="481"/>
      <c r="M173" s="481"/>
      <c r="N173" s="56"/>
      <c r="O173" s="125"/>
      <c r="P173" s="56"/>
      <c r="Q173" s="137"/>
      <c r="R173" s="56"/>
      <c r="S173" s="169"/>
      <c r="T173" s="138"/>
      <c r="U173" s="56"/>
      <c r="V173" s="153"/>
      <c r="W173" s="56"/>
      <c r="X173" s="162"/>
      <c r="Y173" s="4"/>
      <c r="Z173" s="26"/>
    </row>
    <row r="174" spans="2:26" ht="15" customHeight="1">
      <c r="B174" s="25"/>
      <c r="C174" s="477"/>
      <c r="D174" s="477"/>
      <c r="E174" s="78"/>
      <c r="F174" s="78"/>
      <c r="G174" s="78"/>
      <c r="H174" s="78"/>
      <c r="I174" s="78"/>
      <c r="J174" s="78"/>
      <c r="K174" s="78"/>
      <c r="L174" s="78"/>
      <c r="M174" s="78"/>
      <c r="N174" s="4"/>
      <c r="O174" s="89"/>
      <c r="P174" s="4"/>
      <c r="Q174" s="90"/>
      <c r="R174" s="4"/>
      <c r="S174" s="4"/>
      <c r="T174" s="103"/>
      <c r="U174" s="4"/>
      <c r="V174" s="92"/>
      <c r="W174" s="4"/>
      <c r="X174" s="93"/>
      <c r="Y174" s="4"/>
      <c r="Z174" s="26"/>
    </row>
    <row r="175" spans="2:26" ht="9" customHeight="1">
      <c r="B175" s="2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89"/>
      <c r="P175" s="4"/>
      <c r="Q175" s="90"/>
      <c r="R175" s="4"/>
      <c r="S175" s="170"/>
      <c r="T175" s="103"/>
      <c r="U175" s="4"/>
      <c r="V175" s="92"/>
      <c r="W175" s="4"/>
      <c r="X175" s="93"/>
      <c r="Y175" s="4"/>
      <c r="Z175" s="26"/>
    </row>
    <row r="176" spans="2:26" s="4" customFormat="1" ht="5.25" customHeight="1">
      <c r="B176" s="25"/>
      <c r="O176" s="89"/>
      <c r="Q176" s="90"/>
      <c r="T176" s="103"/>
      <c r="V176" s="92"/>
      <c r="X176" s="93"/>
      <c r="Z176" s="26"/>
    </row>
    <row r="177" spans="2:26" s="4" customFormat="1" ht="5.25" customHeight="1">
      <c r="B177" s="25"/>
      <c r="O177" s="89"/>
      <c r="Q177" s="90"/>
      <c r="T177" s="103"/>
      <c r="V177" s="92"/>
      <c r="X177" s="93"/>
      <c r="Z177" s="26"/>
    </row>
    <row r="178" spans="2:26" s="14" customFormat="1" ht="18" customHeight="1" thickBot="1">
      <c r="B178" s="110"/>
      <c r="C178" s="112" t="s">
        <v>60</v>
      </c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27"/>
      <c r="P178" s="113"/>
      <c r="Q178" s="141"/>
      <c r="R178" s="113"/>
      <c r="S178" s="149"/>
      <c r="T178" s="142"/>
      <c r="U178" s="113"/>
      <c r="V178" s="155"/>
      <c r="W178" s="113"/>
      <c r="X178" s="164"/>
      <c r="Y178" s="67"/>
      <c r="Z178" s="114"/>
    </row>
    <row r="179" spans="2:26" ht="15" customHeight="1">
      <c r="B179" s="25"/>
      <c r="C179" s="477"/>
      <c r="D179" s="477"/>
      <c r="E179" s="78"/>
      <c r="F179" s="78"/>
      <c r="G179" s="78"/>
      <c r="H179" s="78"/>
      <c r="I179" s="78"/>
      <c r="J179" s="78"/>
      <c r="K179" s="78"/>
      <c r="L179" s="78"/>
      <c r="M179" s="78"/>
      <c r="N179" s="4"/>
      <c r="O179" s="89"/>
      <c r="P179" s="4"/>
      <c r="Q179" s="90"/>
      <c r="R179" s="4"/>
      <c r="S179" s="4"/>
      <c r="T179" s="103"/>
      <c r="U179" s="4"/>
      <c r="V179" s="92"/>
      <c r="W179" s="4"/>
      <c r="X179" s="93"/>
      <c r="Y179" s="4"/>
      <c r="Z179" s="26"/>
    </row>
    <row r="180" spans="2:26" ht="9" customHeight="1">
      <c r="B180" s="2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89"/>
      <c r="P180" s="4"/>
      <c r="Q180" s="90"/>
      <c r="R180" s="4"/>
      <c r="S180" s="4"/>
      <c r="T180" s="103"/>
      <c r="U180" s="4"/>
      <c r="V180" s="92"/>
      <c r="W180" s="4"/>
      <c r="X180" s="93"/>
      <c r="Y180" s="4"/>
      <c r="Z180" s="26"/>
    </row>
    <row r="181" spans="2:26" ht="5.25" customHeight="1" thickBot="1">
      <c r="B181" s="27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123"/>
      <c r="P181" s="28"/>
      <c r="Q181" s="133"/>
      <c r="R181" s="28"/>
      <c r="S181" s="28"/>
      <c r="T181" s="134"/>
      <c r="U181" s="28"/>
      <c r="V181" s="151"/>
      <c r="W181" s="28"/>
      <c r="X181" s="160"/>
      <c r="Y181" s="28"/>
      <c r="Z181" s="29"/>
    </row>
    <row r="182" spans="2:26" ht="8.2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89"/>
      <c r="P182" s="4"/>
      <c r="Q182" s="90"/>
      <c r="R182" s="4"/>
      <c r="S182" s="4"/>
      <c r="T182" s="103"/>
      <c r="U182" s="4"/>
      <c r="V182" s="92"/>
      <c r="W182" s="4"/>
      <c r="X182" s="93"/>
      <c r="Y182" s="4"/>
      <c r="Z182" s="4"/>
    </row>
    <row r="183" spans="2:24" s="67" customFormat="1" ht="18">
      <c r="B183" s="94" t="s">
        <v>147</v>
      </c>
      <c r="C183" s="95"/>
      <c r="D183" s="96"/>
      <c r="E183" s="97"/>
      <c r="F183" s="98"/>
      <c r="G183" s="98"/>
      <c r="H183" s="98"/>
      <c r="I183" s="98"/>
      <c r="J183" s="98"/>
      <c r="K183" s="98"/>
      <c r="L183" s="98"/>
      <c r="M183" s="98"/>
      <c r="O183" s="99"/>
      <c r="Q183" s="100"/>
      <c r="T183" s="115"/>
      <c r="V183" s="101"/>
      <c r="X183" s="102"/>
    </row>
    <row r="184" spans="15:24" ht="9" customHeight="1" thickBot="1">
      <c r="O184" s="89"/>
      <c r="Q184" s="90"/>
      <c r="R184" s="4"/>
      <c r="S184" s="4"/>
      <c r="T184" s="103"/>
      <c r="V184" s="92"/>
      <c r="X184" s="93"/>
    </row>
    <row r="185" spans="2:26" ht="6" customHeight="1">
      <c r="B185" s="22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22"/>
      <c r="P185" s="23"/>
      <c r="Q185" s="131"/>
      <c r="R185" s="23"/>
      <c r="S185" s="23"/>
      <c r="T185" s="132"/>
      <c r="U185" s="23"/>
      <c r="V185" s="150"/>
      <c r="W185" s="23"/>
      <c r="X185" s="159"/>
      <c r="Y185" s="23"/>
      <c r="Z185" s="24"/>
    </row>
    <row r="186" spans="2:26" ht="15" customHeight="1">
      <c r="B186" s="25"/>
      <c r="C186" s="104" t="s">
        <v>248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89"/>
      <c r="P186" s="4"/>
      <c r="Q186" s="90"/>
      <c r="R186" s="4"/>
      <c r="T186" s="103"/>
      <c r="U186" s="4"/>
      <c r="V186" s="92"/>
      <c r="W186" s="4"/>
      <c r="X186" s="93"/>
      <c r="Y186" s="4"/>
      <c r="Z186" s="26"/>
    </row>
    <row r="187" spans="2:26" ht="5.25" customHeight="1">
      <c r="B187" s="2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89"/>
      <c r="P187" s="4"/>
      <c r="Q187" s="90"/>
      <c r="R187" s="4"/>
      <c r="S187" s="4"/>
      <c r="T187" s="103"/>
      <c r="U187" s="4"/>
      <c r="V187" s="92"/>
      <c r="W187" s="4"/>
      <c r="X187" s="93"/>
      <c r="Y187" s="4"/>
      <c r="Z187" s="26"/>
    </row>
    <row r="188" spans="2:26" s="14" customFormat="1" ht="18" customHeight="1" thickBot="1">
      <c r="B188" s="110"/>
      <c r="C188" s="220" t="s">
        <v>4</v>
      </c>
      <c r="D188" s="495" t="s">
        <v>144</v>
      </c>
      <c r="E188" s="496"/>
      <c r="F188" s="496"/>
      <c r="G188" s="496"/>
      <c r="H188" s="496"/>
      <c r="I188" s="496"/>
      <c r="J188" s="496"/>
      <c r="K188" s="496"/>
      <c r="L188" s="496"/>
      <c r="M188" s="496"/>
      <c r="N188" s="112"/>
      <c r="O188" s="129"/>
      <c r="P188" s="112"/>
      <c r="Q188" s="145"/>
      <c r="R188" s="112"/>
      <c r="S188" s="149"/>
      <c r="T188" s="146"/>
      <c r="U188" s="112"/>
      <c r="V188" s="157"/>
      <c r="W188" s="112"/>
      <c r="X188" s="166"/>
      <c r="Y188" s="112"/>
      <c r="Z188" s="114"/>
    </row>
    <row r="189" spans="2:26" s="14" customFormat="1" ht="9" customHeight="1">
      <c r="B189" s="110"/>
      <c r="C189" s="220"/>
      <c r="D189" s="496"/>
      <c r="E189" s="496"/>
      <c r="F189" s="496"/>
      <c r="G189" s="496"/>
      <c r="H189" s="496"/>
      <c r="I189" s="496"/>
      <c r="J189" s="496"/>
      <c r="K189" s="496"/>
      <c r="L189" s="496"/>
      <c r="M189" s="496"/>
      <c r="N189" s="112"/>
      <c r="O189" s="129"/>
      <c r="P189" s="112"/>
      <c r="Q189" s="145"/>
      <c r="R189" s="112"/>
      <c r="S189" s="112"/>
      <c r="T189" s="146"/>
      <c r="U189" s="112"/>
      <c r="V189" s="157"/>
      <c r="W189" s="112"/>
      <c r="X189" s="166"/>
      <c r="Y189" s="112"/>
      <c r="Z189" s="114"/>
    </row>
    <row r="190" spans="2:26" ht="15" customHeight="1">
      <c r="B190" s="25"/>
      <c r="C190" s="4"/>
      <c r="D190" s="477"/>
      <c r="E190" s="78"/>
      <c r="F190" s="78"/>
      <c r="G190" s="78"/>
      <c r="H190" s="78"/>
      <c r="I190" s="78"/>
      <c r="J190" s="78"/>
      <c r="K190" s="78"/>
      <c r="L190" s="78"/>
      <c r="M190" s="78"/>
      <c r="N190" s="4"/>
      <c r="O190" s="89"/>
      <c r="P190" s="4"/>
      <c r="Q190" s="90"/>
      <c r="R190" s="4"/>
      <c r="S190" s="4"/>
      <c r="T190" s="103"/>
      <c r="U190" s="4"/>
      <c r="V190" s="92"/>
      <c r="W190" s="4"/>
      <c r="X190" s="93"/>
      <c r="Y190" s="4"/>
      <c r="Z190" s="26"/>
    </row>
    <row r="191" spans="2:26" ht="9" customHeight="1">
      <c r="B191" s="2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89"/>
      <c r="P191" s="4"/>
      <c r="Q191" s="90"/>
      <c r="R191" s="4"/>
      <c r="S191" s="4"/>
      <c r="T191" s="103"/>
      <c r="U191" s="4"/>
      <c r="V191" s="92"/>
      <c r="W191" s="4"/>
      <c r="X191" s="93"/>
      <c r="Y191" s="4"/>
      <c r="Z191" s="26"/>
    </row>
    <row r="192" spans="2:26" ht="6" customHeight="1">
      <c r="B192" s="2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89"/>
      <c r="P192" s="4"/>
      <c r="Q192" s="90"/>
      <c r="R192" s="4"/>
      <c r="S192" s="4"/>
      <c r="T192" s="103"/>
      <c r="U192" s="4"/>
      <c r="V192" s="92"/>
      <c r="W192" s="4"/>
      <c r="X192" s="93"/>
      <c r="Y192" s="4"/>
      <c r="Z192" s="26"/>
    </row>
    <row r="193" spans="2:26" ht="5.25" customHeight="1">
      <c r="B193" s="2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89"/>
      <c r="P193" s="4"/>
      <c r="Q193" s="90"/>
      <c r="R193" s="4"/>
      <c r="S193" s="4"/>
      <c r="T193" s="103"/>
      <c r="U193" s="4"/>
      <c r="V193" s="92"/>
      <c r="W193" s="4"/>
      <c r="X193" s="93"/>
      <c r="Y193" s="4"/>
      <c r="Z193" s="26"/>
    </row>
    <row r="194" spans="2:26" s="14" customFormat="1" ht="18" customHeight="1" thickBot="1">
      <c r="B194" s="110"/>
      <c r="C194" s="220" t="s">
        <v>4</v>
      </c>
      <c r="D194" s="495" t="s">
        <v>62</v>
      </c>
      <c r="E194" s="495"/>
      <c r="F194" s="495"/>
      <c r="G194" s="495"/>
      <c r="H194" s="495"/>
      <c r="I194" s="495"/>
      <c r="J194" s="495"/>
      <c r="K194" s="495"/>
      <c r="L194" s="495"/>
      <c r="M194" s="495"/>
      <c r="N194" s="112"/>
      <c r="O194" s="129"/>
      <c r="P194" s="112"/>
      <c r="Q194" s="145"/>
      <c r="R194" s="112"/>
      <c r="S194" s="149"/>
      <c r="T194" s="146"/>
      <c r="U194" s="112"/>
      <c r="V194" s="157"/>
      <c r="W194" s="112"/>
      <c r="X194" s="166"/>
      <c r="Y194" s="112"/>
      <c r="Z194" s="114"/>
    </row>
    <row r="195" spans="2:26" s="14" customFormat="1" ht="6.75" customHeight="1">
      <c r="B195" s="110"/>
      <c r="C195" s="220"/>
      <c r="D195" s="496"/>
      <c r="E195" s="496"/>
      <c r="F195" s="496"/>
      <c r="G195" s="496"/>
      <c r="H195" s="496"/>
      <c r="I195" s="496"/>
      <c r="J195" s="496"/>
      <c r="K195" s="496"/>
      <c r="L195" s="496"/>
      <c r="M195" s="496"/>
      <c r="N195" s="112"/>
      <c r="O195" s="129"/>
      <c r="P195" s="112"/>
      <c r="Q195" s="145"/>
      <c r="R195" s="112"/>
      <c r="S195" s="116"/>
      <c r="T195" s="146"/>
      <c r="U195" s="112"/>
      <c r="V195" s="157"/>
      <c r="W195" s="112"/>
      <c r="X195" s="166"/>
      <c r="Y195" s="112"/>
      <c r="Z195" s="114"/>
    </row>
    <row r="196" spans="2:26" ht="15" customHeight="1">
      <c r="B196" s="25"/>
      <c r="C196" s="4"/>
      <c r="D196" s="477"/>
      <c r="E196" s="78"/>
      <c r="F196" s="78"/>
      <c r="G196" s="78"/>
      <c r="H196" s="78"/>
      <c r="I196" s="78"/>
      <c r="J196" s="78"/>
      <c r="K196" s="78"/>
      <c r="L196" s="78"/>
      <c r="M196" s="78"/>
      <c r="N196" s="4"/>
      <c r="O196" s="89"/>
      <c r="P196" s="4"/>
      <c r="Q196" s="90"/>
      <c r="R196" s="4"/>
      <c r="S196" s="4"/>
      <c r="T196" s="103"/>
      <c r="U196" s="4"/>
      <c r="V196" s="92"/>
      <c r="W196" s="4"/>
      <c r="X196" s="93"/>
      <c r="Y196" s="4"/>
      <c r="Z196" s="26"/>
    </row>
    <row r="197" spans="2:26" ht="9" customHeight="1">
      <c r="B197" s="2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89"/>
      <c r="P197" s="4"/>
      <c r="Q197" s="90"/>
      <c r="R197" s="4"/>
      <c r="S197" s="4"/>
      <c r="T197" s="103"/>
      <c r="U197" s="4"/>
      <c r="V197" s="92"/>
      <c r="W197" s="4"/>
      <c r="X197" s="93"/>
      <c r="Y197" s="4"/>
      <c r="Z197" s="26"/>
    </row>
    <row r="198" spans="2:26" ht="5.25" customHeight="1" thickBot="1">
      <c r="B198" s="27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123"/>
      <c r="P198" s="28"/>
      <c r="Q198" s="133"/>
      <c r="R198" s="28"/>
      <c r="S198" s="28"/>
      <c r="T198" s="134"/>
      <c r="U198" s="28"/>
      <c r="V198" s="151"/>
      <c r="W198" s="28"/>
      <c r="X198" s="160"/>
      <c r="Y198" s="28"/>
      <c r="Z198" s="29"/>
    </row>
    <row r="199" spans="15:24" ht="9" customHeight="1" thickBot="1">
      <c r="O199" s="89"/>
      <c r="Q199" s="90"/>
      <c r="R199" s="4"/>
      <c r="S199" s="4"/>
      <c r="T199" s="103"/>
      <c r="V199" s="92"/>
      <c r="X199" s="93"/>
    </row>
    <row r="200" spans="2:26" ht="4.5" customHeight="1"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122"/>
      <c r="P200" s="23"/>
      <c r="Q200" s="131"/>
      <c r="R200" s="23"/>
      <c r="S200" s="23"/>
      <c r="T200" s="132"/>
      <c r="U200" s="23"/>
      <c r="V200" s="150"/>
      <c r="W200" s="23"/>
      <c r="X200" s="159"/>
      <c r="Y200" s="23"/>
      <c r="Z200" s="24"/>
    </row>
    <row r="201" spans="2:26" s="14" customFormat="1" ht="18" customHeight="1" thickBot="1">
      <c r="B201" s="110"/>
      <c r="C201" s="112" t="s">
        <v>63</v>
      </c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113"/>
      <c r="O201" s="127"/>
      <c r="P201" s="113"/>
      <c r="Q201" s="141"/>
      <c r="R201" s="113"/>
      <c r="S201" s="149"/>
      <c r="T201" s="142"/>
      <c r="U201" s="113"/>
      <c r="V201" s="155"/>
      <c r="W201" s="113"/>
      <c r="X201" s="164"/>
      <c r="Y201" s="67"/>
      <c r="Z201" s="114"/>
    </row>
    <row r="202" spans="2:26" ht="12.75">
      <c r="B202" s="25"/>
      <c r="C202" s="221"/>
      <c r="D202" s="222" t="s">
        <v>64</v>
      </c>
      <c r="E202" s="221"/>
      <c r="F202" s="221"/>
      <c r="G202" s="221"/>
      <c r="H202" s="221"/>
      <c r="I202" s="221"/>
      <c r="J202" s="221"/>
      <c r="K202" s="221"/>
      <c r="L202" s="221"/>
      <c r="M202" s="221"/>
      <c r="N202" s="56"/>
      <c r="O202" s="125"/>
      <c r="P202" s="56"/>
      <c r="Q202" s="137"/>
      <c r="R202" s="56"/>
      <c r="S202" s="56"/>
      <c r="T202" s="138"/>
      <c r="U202" s="56"/>
      <c r="V202" s="153"/>
      <c r="W202" s="56"/>
      <c r="X202" s="162"/>
      <c r="Y202" s="4"/>
      <c r="Z202" s="26"/>
    </row>
    <row r="203" spans="2:26" ht="12.75">
      <c r="B203" s="25"/>
      <c r="C203" s="221"/>
      <c r="D203" s="222" t="s">
        <v>247</v>
      </c>
      <c r="E203" s="221"/>
      <c r="F203" s="221"/>
      <c r="G203" s="221"/>
      <c r="H203" s="221"/>
      <c r="I203" s="221"/>
      <c r="J203" s="221"/>
      <c r="K203" s="221"/>
      <c r="L203" s="221"/>
      <c r="M203" s="221"/>
      <c r="N203" s="56"/>
      <c r="O203" s="125"/>
      <c r="P203" s="56"/>
      <c r="Q203" s="137"/>
      <c r="R203" s="56"/>
      <c r="S203" s="56"/>
      <c r="T203" s="138"/>
      <c r="U203" s="56"/>
      <c r="V203" s="153"/>
      <c r="W203" s="56"/>
      <c r="X203" s="162"/>
      <c r="Y203" s="4"/>
      <c r="Z203" s="26"/>
    </row>
    <row r="204" spans="2:26" ht="12.75">
      <c r="B204" s="25"/>
      <c r="C204" s="221"/>
      <c r="D204" s="222" t="s">
        <v>66</v>
      </c>
      <c r="E204" s="221"/>
      <c r="F204" s="221"/>
      <c r="G204" s="221"/>
      <c r="H204" s="221"/>
      <c r="I204" s="221"/>
      <c r="J204" s="221"/>
      <c r="K204" s="221"/>
      <c r="L204" s="221"/>
      <c r="M204" s="221"/>
      <c r="N204" s="56"/>
      <c r="O204" s="125"/>
      <c r="P204" s="56"/>
      <c r="Q204" s="137"/>
      <c r="R204" s="56"/>
      <c r="S204" s="56"/>
      <c r="T204" s="138"/>
      <c r="U204" s="56"/>
      <c r="V204" s="153"/>
      <c r="W204" s="56"/>
      <c r="X204" s="162"/>
      <c r="Y204" s="4"/>
      <c r="Z204" s="26"/>
    </row>
    <row r="205" spans="2:26" ht="12.75">
      <c r="B205" s="25"/>
      <c r="C205" s="176" t="s">
        <v>29</v>
      </c>
      <c r="D205" s="222"/>
      <c r="E205" s="221"/>
      <c r="F205" s="221"/>
      <c r="G205" s="221"/>
      <c r="H205" s="221"/>
      <c r="I205" s="221"/>
      <c r="J205" s="221"/>
      <c r="K205" s="221"/>
      <c r="L205" s="221"/>
      <c r="M205" s="221"/>
      <c r="N205" s="56"/>
      <c r="O205" s="125"/>
      <c r="P205" s="56"/>
      <c r="Q205" s="137"/>
      <c r="R205" s="56"/>
      <c r="S205" s="56"/>
      <c r="T205" s="138"/>
      <c r="U205" s="56"/>
      <c r="V205" s="153"/>
      <c r="W205" s="56"/>
      <c r="X205" s="162"/>
      <c r="Y205" s="4"/>
      <c r="Z205" s="26"/>
    </row>
    <row r="206" spans="2:26" ht="15" customHeight="1">
      <c r="B206" s="25"/>
      <c r="C206" s="477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4"/>
      <c r="O206" s="89"/>
      <c r="P206" s="4"/>
      <c r="Q206" s="90"/>
      <c r="R206" s="4"/>
      <c r="S206" s="4"/>
      <c r="T206" s="103"/>
      <c r="U206" s="4"/>
      <c r="V206" s="92"/>
      <c r="W206" s="4"/>
      <c r="X206" s="93"/>
      <c r="Y206" s="4"/>
      <c r="Z206" s="26"/>
    </row>
    <row r="207" spans="2:26" ht="5.25" customHeight="1" thickBot="1">
      <c r="B207" s="27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123"/>
      <c r="P207" s="28"/>
      <c r="Q207" s="133"/>
      <c r="R207" s="28"/>
      <c r="S207" s="28"/>
      <c r="T207" s="134"/>
      <c r="U207" s="28"/>
      <c r="V207" s="151"/>
      <c r="W207" s="28"/>
      <c r="X207" s="160"/>
      <c r="Y207" s="28"/>
      <c r="Z207" s="29"/>
    </row>
    <row r="208" spans="2:26" ht="8.2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89"/>
      <c r="P208" s="4"/>
      <c r="Q208" s="90"/>
      <c r="R208" s="4"/>
      <c r="S208" s="4"/>
      <c r="T208" s="103"/>
      <c r="U208" s="4"/>
      <c r="V208" s="92"/>
      <c r="W208" s="4"/>
      <c r="X208" s="93"/>
      <c r="Y208" s="4"/>
      <c r="Z208" s="4"/>
    </row>
    <row r="209" spans="2:24" s="67" customFormat="1" ht="18">
      <c r="B209" s="94" t="s">
        <v>22</v>
      </c>
      <c r="C209" s="95"/>
      <c r="D209" s="96"/>
      <c r="E209" s="97"/>
      <c r="F209" s="98"/>
      <c r="G209" s="98"/>
      <c r="H209" s="98"/>
      <c r="I209" s="98"/>
      <c r="J209" s="98"/>
      <c r="K209" s="98"/>
      <c r="L209" s="98"/>
      <c r="M209" s="98"/>
      <c r="O209" s="99"/>
      <c r="Q209" s="100"/>
      <c r="T209" s="115"/>
      <c r="V209" s="101"/>
      <c r="X209" s="102"/>
    </row>
    <row r="210" spans="15:24" ht="9" customHeight="1" thickBot="1">
      <c r="O210" s="89"/>
      <c r="Q210" s="90"/>
      <c r="R210" s="4"/>
      <c r="S210" s="4"/>
      <c r="T210" s="103"/>
      <c r="V210" s="92"/>
      <c r="X210" s="93"/>
    </row>
    <row r="211" spans="2:26" ht="4.5" customHeight="1"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122"/>
      <c r="P211" s="23"/>
      <c r="Q211" s="131"/>
      <c r="R211" s="23"/>
      <c r="S211" s="23"/>
      <c r="T211" s="132"/>
      <c r="U211" s="23"/>
      <c r="V211" s="150"/>
      <c r="W211" s="23"/>
      <c r="X211" s="159"/>
      <c r="Y211" s="23"/>
      <c r="Z211" s="24"/>
    </row>
    <row r="212" spans="2:26" s="4" customFormat="1" ht="4.5" customHeight="1">
      <c r="B212" s="25"/>
      <c r="O212" s="89"/>
      <c r="Q212" s="90"/>
      <c r="T212" s="103"/>
      <c r="V212" s="92"/>
      <c r="X212" s="93"/>
      <c r="Z212" s="26"/>
    </row>
    <row r="213" spans="2:26" s="14" customFormat="1" ht="18" customHeight="1" thickBot="1">
      <c r="B213" s="110"/>
      <c r="C213" s="112" t="s">
        <v>67</v>
      </c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27"/>
      <c r="P213" s="113"/>
      <c r="Q213" s="141"/>
      <c r="R213" s="113"/>
      <c r="S213" s="149"/>
      <c r="T213" s="142"/>
      <c r="U213" s="113"/>
      <c r="V213" s="155"/>
      <c r="W213" s="113"/>
      <c r="X213" s="164"/>
      <c r="Y213" s="67"/>
      <c r="Z213" s="114"/>
    </row>
    <row r="214" spans="2:26" ht="23.25" customHeight="1">
      <c r="B214" s="25"/>
      <c r="C214" s="493" t="s">
        <v>26</v>
      </c>
      <c r="D214" s="493"/>
      <c r="E214" s="493"/>
      <c r="F214" s="493"/>
      <c r="G214" s="493"/>
      <c r="H214" s="493"/>
      <c r="I214" s="493"/>
      <c r="J214" s="493"/>
      <c r="K214" s="493"/>
      <c r="L214" s="493"/>
      <c r="M214" s="493"/>
      <c r="N214" s="171"/>
      <c r="O214" s="172"/>
      <c r="P214" s="171"/>
      <c r="Q214" s="173"/>
      <c r="R214" s="171"/>
      <c r="S214" s="171"/>
      <c r="T214" s="174"/>
      <c r="U214" s="171"/>
      <c r="V214" s="184"/>
      <c r="W214" s="171"/>
      <c r="X214" s="175"/>
      <c r="Y214" s="109"/>
      <c r="Z214" s="26"/>
    </row>
    <row r="215" spans="2:26" ht="15" customHeight="1">
      <c r="B215" s="25"/>
      <c r="C215" s="477"/>
      <c r="D215" s="477"/>
      <c r="E215" s="78"/>
      <c r="F215" s="78"/>
      <c r="G215" s="78"/>
      <c r="H215" s="78"/>
      <c r="I215" s="78"/>
      <c r="J215" s="78"/>
      <c r="K215" s="78"/>
      <c r="L215" s="78"/>
      <c r="M215" s="78"/>
      <c r="N215" s="4"/>
      <c r="O215" s="89"/>
      <c r="P215" s="4"/>
      <c r="Q215" s="90"/>
      <c r="R215" s="4"/>
      <c r="S215" s="4"/>
      <c r="T215" s="103"/>
      <c r="U215" s="4"/>
      <c r="V215" s="92"/>
      <c r="W215" s="4"/>
      <c r="X215" s="93"/>
      <c r="Y215" s="4"/>
      <c r="Z215" s="26"/>
    </row>
    <row r="216" spans="2:26" ht="5.25" customHeight="1">
      <c r="B216" s="2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89"/>
      <c r="P216" s="4"/>
      <c r="Q216" s="90"/>
      <c r="R216" s="4"/>
      <c r="S216" s="4"/>
      <c r="T216" s="103"/>
      <c r="U216" s="4"/>
      <c r="V216" s="92"/>
      <c r="W216" s="4"/>
      <c r="X216" s="93"/>
      <c r="Y216" s="4"/>
      <c r="Z216" s="26"/>
    </row>
    <row r="217" spans="2:26" s="67" customFormat="1" ht="15" customHeight="1">
      <c r="B217" s="110"/>
      <c r="C217" s="67" t="s">
        <v>40</v>
      </c>
      <c r="O217" s="99"/>
      <c r="Q217" s="100"/>
      <c r="T217" s="115"/>
      <c r="V217" s="101"/>
      <c r="X217" s="102"/>
      <c r="Z217" s="114"/>
    </row>
    <row r="218" spans="2:26" ht="5.25" customHeight="1">
      <c r="B218" s="2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89"/>
      <c r="P218" s="4"/>
      <c r="Q218" s="90"/>
      <c r="R218" s="4"/>
      <c r="S218" s="4"/>
      <c r="T218" s="103"/>
      <c r="U218" s="4"/>
      <c r="V218" s="92"/>
      <c r="W218" s="4"/>
      <c r="X218" s="93"/>
      <c r="Y218" s="4"/>
      <c r="Z218" s="26"/>
    </row>
    <row r="219" spans="2:26" s="14" customFormat="1" ht="16.5" customHeight="1" thickBot="1">
      <c r="B219" s="110"/>
      <c r="C219" s="104" t="s">
        <v>68</v>
      </c>
      <c r="E219" s="104"/>
      <c r="F219" s="104"/>
      <c r="G219" s="104"/>
      <c r="H219" s="104"/>
      <c r="I219" s="104"/>
      <c r="J219" s="104"/>
      <c r="K219" s="104"/>
      <c r="L219" s="104"/>
      <c r="M219" s="104"/>
      <c r="N219" s="112"/>
      <c r="O219" s="129"/>
      <c r="P219" s="112"/>
      <c r="Q219" s="145"/>
      <c r="R219" s="112"/>
      <c r="S219" s="149"/>
      <c r="T219" s="146"/>
      <c r="U219" s="112"/>
      <c r="V219" s="157"/>
      <c r="W219" s="112"/>
      <c r="X219" s="166"/>
      <c r="Y219" s="112"/>
      <c r="Z219" s="114"/>
    </row>
    <row r="220" spans="2:26" ht="15" customHeight="1">
      <c r="B220" s="25"/>
      <c r="C220" s="477"/>
      <c r="D220" s="477"/>
      <c r="E220" s="78"/>
      <c r="F220" s="78"/>
      <c r="G220" s="78"/>
      <c r="H220" s="78"/>
      <c r="I220" s="78"/>
      <c r="J220" s="78"/>
      <c r="K220" s="78"/>
      <c r="L220" s="78"/>
      <c r="M220" s="78"/>
      <c r="N220" s="4"/>
      <c r="O220" s="89"/>
      <c r="P220" s="4"/>
      <c r="Q220" s="90"/>
      <c r="R220" s="4"/>
      <c r="S220" s="4"/>
      <c r="T220" s="103"/>
      <c r="U220" s="4"/>
      <c r="V220" s="92"/>
      <c r="W220" s="4"/>
      <c r="X220" s="93"/>
      <c r="Y220" s="4"/>
      <c r="Z220" s="26"/>
    </row>
    <row r="221" spans="2:26" ht="9" customHeight="1">
      <c r="B221" s="2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89"/>
      <c r="P221" s="4"/>
      <c r="Q221" s="90"/>
      <c r="R221" s="4"/>
      <c r="S221" s="4"/>
      <c r="T221" s="103"/>
      <c r="U221" s="4"/>
      <c r="V221" s="92"/>
      <c r="W221" s="4"/>
      <c r="X221" s="93"/>
      <c r="Y221" s="4"/>
      <c r="Z221" s="26"/>
    </row>
    <row r="222" spans="2:26" ht="5.25" customHeight="1" thickBot="1"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123"/>
      <c r="P222" s="28"/>
      <c r="Q222" s="133"/>
      <c r="R222" s="28"/>
      <c r="S222" s="28"/>
      <c r="T222" s="134"/>
      <c r="U222" s="28"/>
      <c r="V222" s="151"/>
      <c r="W222" s="28"/>
      <c r="X222" s="160"/>
      <c r="Y222" s="28"/>
      <c r="Z222" s="29"/>
    </row>
    <row r="223" spans="15:24" ht="9" customHeight="1" thickBot="1">
      <c r="O223" s="89"/>
      <c r="Q223" s="90"/>
      <c r="R223" s="4"/>
      <c r="S223" s="4"/>
      <c r="T223" s="103"/>
      <c r="V223" s="92"/>
      <c r="X223" s="93"/>
    </row>
    <row r="224" spans="2:26" ht="5.25" customHeight="1"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122"/>
      <c r="P224" s="23"/>
      <c r="Q224" s="131"/>
      <c r="R224" s="23"/>
      <c r="S224" s="23"/>
      <c r="T224" s="132"/>
      <c r="U224" s="23"/>
      <c r="V224" s="150"/>
      <c r="W224" s="23"/>
      <c r="X224" s="159"/>
      <c r="Y224" s="23"/>
      <c r="Z224" s="24"/>
    </row>
    <row r="225" spans="2:26" s="14" customFormat="1" ht="18" customHeight="1" thickBot="1">
      <c r="B225" s="110"/>
      <c r="C225" s="80" t="s">
        <v>145</v>
      </c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113"/>
      <c r="O225" s="127"/>
      <c r="P225" s="113"/>
      <c r="Q225" s="141"/>
      <c r="R225" s="113"/>
      <c r="S225" s="149"/>
      <c r="T225" s="142"/>
      <c r="U225" s="113"/>
      <c r="V225" s="155"/>
      <c r="W225" s="113"/>
      <c r="X225" s="164"/>
      <c r="Y225" s="67"/>
      <c r="Z225" s="114"/>
    </row>
    <row r="226" spans="2:26" s="14" customFormat="1" ht="25.5" customHeight="1">
      <c r="B226" s="110"/>
      <c r="C226" s="479" t="s">
        <v>146</v>
      </c>
      <c r="D226" s="490"/>
      <c r="E226" s="490"/>
      <c r="F226" s="490"/>
      <c r="G226" s="490"/>
      <c r="H226" s="490"/>
      <c r="I226" s="490"/>
      <c r="J226" s="490"/>
      <c r="K226" s="490"/>
      <c r="L226" s="490"/>
      <c r="M226" s="490"/>
      <c r="N226" s="113"/>
      <c r="O226" s="127"/>
      <c r="P226" s="113"/>
      <c r="Q226" s="141"/>
      <c r="R226" s="113"/>
      <c r="S226" s="116"/>
      <c r="T226" s="142"/>
      <c r="U226" s="113"/>
      <c r="V226" s="155"/>
      <c r="W226" s="113"/>
      <c r="X226" s="164"/>
      <c r="Y226" s="67"/>
      <c r="Z226" s="114"/>
    </row>
    <row r="227" spans="2:26" ht="15" customHeight="1">
      <c r="B227" s="25"/>
      <c r="C227" s="477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4"/>
      <c r="O227" s="89"/>
      <c r="P227" s="4"/>
      <c r="Q227" s="90"/>
      <c r="R227" s="4"/>
      <c r="S227" s="4"/>
      <c r="T227" s="103"/>
      <c r="U227" s="4"/>
      <c r="V227" s="92"/>
      <c r="W227" s="4"/>
      <c r="X227" s="93"/>
      <c r="Y227" s="4"/>
      <c r="Z227" s="26"/>
    </row>
    <row r="228" spans="2:26" ht="9" customHeight="1" thickBot="1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123"/>
      <c r="P228" s="28"/>
      <c r="Q228" s="133"/>
      <c r="R228" s="28"/>
      <c r="S228" s="28"/>
      <c r="T228" s="134"/>
      <c r="U228" s="28"/>
      <c r="V228" s="151"/>
      <c r="W228" s="28"/>
      <c r="X228" s="160"/>
      <c r="Y228" s="28"/>
      <c r="Z228" s="29"/>
    </row>
    <row r="229" spans="15:24" ht="9" customHeight="1" thickBot="1">
      <c r="O229" s="89"/>
      <c r="Q229" s="90"/>
      <c r="R229" s="4"/>
      <c r="S229" s="4"/>
      <c r="T229" s="103"/>
      <c r="V229" s="92"/>
      <c r="X229" s="93"/>
    </row>
    <row r="230" spans="2:26" ht="4.5" customHeight="1">
      <c r="B230" s="22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122"/>
      <c r="P230" s="23"/>
      <c r="Q230" s="131"/>
      <c r="R230" s="23"/>
      <c r="S230" s="23"/>
      <c r="T230" s="132"/>
      <c r="U230" s="23"/>
      <c r="V230" s="150"/>
      <c r="W230" s="23"/>
      <c r="X230" s="159"/>
      <c r="Y230" s="23"/>
      <c r="Z230" s="24"/>
    </row>
    <row r="231" spans="2:26" s="14" customFormat="1" ht="18" customHeight="1" thickBot="1">
      <c r="B231" s="110"/>
      <c r="C231" s="489" t="s">
        <v>129</v>
      </c>
      <c r="D231" s="489"/>
      <c r="E231" s="489"/>
      <c r="F231" s="489"/>
      <c r="G231" s="489"/>
      <c r="H231" s="489"/>
      <c r="I231" s="489"/>
      <c r="J231" s="489"/>
      <c r="K231" s="489"/>
      <c r="L231" s="489"/>
      <c r="M231" s="489"/>
      <c r="N231" s="112"/>
      <c r="O231" s="129"/>
      <c r="P231" s="112"/>
      <c r="Q231" s="145"/>
      <c r="R231" s="112"/>
      <c r="S231" s="149"/>
      <c r="T231" s="146"/>
      <c r="U231" s="112"/>
      <c r="V231" s="157"/>
      <c r="W231" s="112"/>
      <c r="X231" s="166"/>
      <c r="Y231" s="67"/>
      <c r="Z231" s="114"/>
    </row>
    <row r="232" spans="2:26" s="14" customFormat="1" ht="12" customHeight="1">
      <c r="B232" s="110"/>
      <c r="C232" s="489"/>
      <c r="D232" s="489"/>
      <c r="E232" s="489"/>
      <c r="F232" s="489"/>
      <c r="G232" s="489"/>
      <c r="H232" s="489"/>
      <c r="I232" s="489"/>
      <c r="J232" s="489"/>
      <c r="K232" s="489"/>
      <c r="L232" s="489"/>
      <c r="M232" s="489"/>
      <c r="N232" s="112"/>
      <c r="O232" s="129"/>
      <c r="P232" s="112"/>
      <c r="Q232" s="145"/>
      <c r="R232" s="112"/>
      <c r="S232" s="116"/>
      <c r="T232" s="146"/>
      <c r="U232" s="112"/>
      <c r="V232" s="157"/>
      <c r="W232" s="112"/>
      <c r="X232" s="166"/>
      <c r="Y232" s="67"/>
      <c r="Z232" s="114"/>
    </row>
    <row r="233" spans="2:26" ht="15" customHeight="1">
      <c r="B233" s="25"/>
      <c r="C233" s="477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4"/>
      <c r="O233" s="89"/>
      <c r="P233" s="4"/>
      <c r="Q233" s="90"/>
      <c r="R233" s="4"/>
      <c r="S233" s="4"/>
      <c r="T233" s="103"/>
      <c r="U233" s="4"/>
      <c r="V233" s="92"/>
      <c r="W233" s="4"/>
      <c r="X233" s="93"/>
      <c r="Y233" s="4"/>
      <c r="Z233" s="26"/>
    </row>
    <row r="234" spans="2:26" ht="5.25" customHeight="1" thickBot="1"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123"/>
      <c r="P234" s="28"/>
      <c r="Q234" s="133"/>
      <c r="R234" s="28"/>
      <c r="S234" s="28"/>
      <c r="T234" s="134"/>
      <c r="U234" s="28"/>
      <c r="V234" s="151"/>
      <c r="W234" s="28"/>
      <c r="X234" s="160"/>
      <c r="Y234" s="28"/>
      <c r="Z234" s="29"/>
    </row>
    <row r="235" spans="15:24" s="4" customFormat="1" ht="5.25" customHeight="1" thickBot="1">
      <c r="O235" s="117"/>
      <c r="Q235" s="118"/>
      <c r="R235" s="119"/>
      <c r="S235" s="119"/>
      <c r="T235" s="120"/>
      <c r="V235" s="121"/>
      <c r="X235" s="168"/>
    </row>
    <row r="236" ht="19.5" customHeight="1" thickBot="1"/>
    <row r="237" spans="2:25" ht="18.75" customHeight="1" thickBot="1">
      <c r="B237" s="81" t="s">
        <v>9</v>
      </c>
      <c r="C237" s="82"/>
      <c r="D237" s="32"/>
      <c r="E237" s="33"/>
      <c r="F237" s="34"/>
      <c r="G237" s="34"/>
      <c r="H237" s="34"/>
      <c r="I237" s="34"/>
      <c r="J237" s="34"/>
      <c r="K237" s="34"/>
      <c r="L237" s="34"/>
      <c r="M237" s="35"/>
      <c r="O237" s="83"/>
      <c r="P237" s="4"/>
      <c r="Q237" s="84"/>
      <c r="R237" s="85"/>
      <c r="S237" s="500"/>
      <c r="T237" s="86"/>
      <c r="U237" s="4"/>
      <c r="V237" s="87"/>
      <c r="W237" s="4"/>
      <c r="X237" s="88"/>
      <c r="Y237" s="4"/>
    </row>
    <row r="238" spans="3:25" ht="15.75" customHeight="1">
      <c r="C238" s="55"/>
      <c r="D238" s="30"/>
      <c r="E238" s="31"/>
      <c r="O238" s="89"/>
      <c r="P238" s="4"/>
      <c r="Q238" s="90"/>
      <c r="R238" s="4"/>
      <c r="S238" s="501"/>
      <c r="T238" s="91"/>
      <c r="U238" s="4"/>
      <c r="V238" s="92"/>
      <c r="W238" s="4"/>
      <c r="X238" s="93"/>
      <c r="Y238" s="4"/>
    </row>
    <row r="239" spans="15:25" ht="21" customHeight="1">
      <c r="O239" s="89"/>
      <c r="P239" s="4"/>
      <c r="Q239" s="90"/>
      <c r="R239" s="4"/>
      <c r="S239" s="501"/>
      <c r="T239" s="91"/>
      <c r="U239" s="4"/>
      <c r="V239" s="92"/>
      <c r="W239" s="4"/>
      <c r="X239" s="93"/>
      <c r="Y239" s="4"/>
    </row>
    <row r="240" spans="2:25" s="14" customFormat="1" ht="18">
      <c r="B240" s="94" t="s">
        <v>31</v>
      </c>
      <c r="C240" s="95"/>
      <c r="D240" s="96"/>
      <c r="E240" s="97"/>
      <c r="F240" s="98"/>
      <c r="G240" s="98"/>
      <c r="H240" s="98"/>
      <c r="I240" s="98"/>
      <c r="J240" s="98"/>
      <c r="K240" s="98"/>
      <c r="L240" s="98"/>
      <c r="M240" s="98"/>
      <c r="N240" s="67"/>
      <c r="O240" s="99"/>
      <c r="P240" s="67"/>
      <c r="Q240" s="100"/>
      <c r="R240" s="67"/>
      <c r="S240" s="501"/>
      <c r="T240" s="91"/>
      <c r="U240" s="67"/>
      <c r="V240" s="101"/>
      <c r="W240" s="67"/>
      <c r="X240" s="102"/>
      <c r="Y240" s="67"/>
    </row>
    <row r="241" spans="2:28" ht="9.75" customHeight="1" thickBo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89"/>
      <c r="P241" s="4"/>
      <c r="Q241" s="90"/>
      <c r="R241" s="4"/>
      <c r="S241" s="4"/>
      <c r="T241" s="103"/>
      <c r="U241" s="4"/>
      <c r="V241" s="92"/>
      <c r="W241" s="4"/>
      <c r="X241" s="93"/>
      <c r="Y241" s="4"/>
      <c r="Z241" s="4"/>
      <c r="AB241" s="4"/>
    </row>
    <row r="242" spans="2:28" ht="6" customHeight="1"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122"/>
      <c r="P242" s="23"/>
      <c r="Q242" s="131"/>
      <c r="R242" s="23"/>
      <c r="S242" s="23"/>
      <c r="T242" s="132"/>
      <c r="U242" s="23"/>
      <c r="V242" s="150"/>
      <c r="W242" s="23"/>
      <c r="X242" s="159"/>
      <c r="Y242" s="23"/>
      <c r="Z242" s="24"/>
      <c r="AB242" s="4"/>
    </row>
    <row r="243" spans="2:28" ht="6" customHeight="1">
      <c r="B243" s="2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89"/>
      <c r="P243" s="4"/>
      <c r="Q243" s="90"/>
      <c r="R243" s="4"/>
      <c r="S243" s="4"/>
      <c r="T243" s="103"/>
      <c r="U243" s="4"/>
      <c r="V243" s="92"/>
      <c r="W243" s="4"/>
      <c r="X243" s="93"/>
      <c r="Y243" s="4"/>
      <c r="Z243" s="26"/>
      <c r="AB243" s="4"/>
    </row>
    <row r="244" spans="2:28" s="14" customFormat="1" ht="18" customHeight="1" thickBot="1">
      <c r="B244" s="110"/>
      <c r="C244" s="112" t="s">
        <v>82</v>
      </c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113"/>
      <c r="O244" s="127"/>
      <c r="P244" s="113"/>
      <c r="Q244" s="141"/>
      <c r="R244" s="113"/>
      <c r="S244" s="149"/>
      <c r="T244" s="142"/>
      <c r="U244" s="113"/>
      <c r="V244" s="155"/>
      <c r="W244" s="113"/>
      <c r="X244" s="164"/>
      <c r="Y244" s="67"/>
      <c r="Z244" s="114"/>
      <c r="AB244" s="67"/>
    </row>
    <row r="245" spans="2:28" ht="6" customHeight="1">
      <c r="B245" s="2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89"/>
      <c r="P245" s="4"/>
      <c r="Q245" s="90"/>
      <c r="R245" s="4"/>
      <c r="S245" s="4"/>
      <c r="T245" s="103"/>
      <c r="U245" s="4"/>
      <c r="V245" s="92"/>
      <c r="W245" s="4"/>
      <c r="X245" s="93"/>
      <c r="Y245" s="4"/>
      <c r="Z245" s="26"/>
      <c r="AB245" s="4"/>
    </row>
    <row r="246" spans="2:28" s="14" customFormat="1" ht="18" customHeight="1">
      <c r="B246" s="110"/>
      <c r="C246" s="112" t="s">
        <v>40</v>
      </c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99"/>
      <c r="P246" s="67"/>
      <c r="Q246" s="100"/>
      <c r="R246" s="67"/>
      <c r="S246" s="116"/>
      <c r="T246" s="115"/>
      <c r="U246" s="67"/>
      <c r="V246" s="101"/>
      <c r="W246" s="67"/>
      <c r="X246" s="102"/>
      <c r="Y246" s="67"/>
      <c r="Z246" s="114"/>
      <c r="AB246" s="67"/>
    </row>
    <row r="247" spans="2:28" ht="6" customHeight="1">
      <c r="B247" s="2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89"/>
      <c r="P247" s="4"/>
      <c r="Q247" s="90"/>
      <c r="R247" s="4"/>
      <c r="S247" s="4"/>
      <c r="T247" s="103"/>
      <c r="U247" s="4"/>
      <c r="V247" s="92"/>
      <c r="W247" s="4"/>
      <c r="X247" s="93"/>
      <c r="Y247" s="4"/>
      <c r="Z247" s="26"/>
      <c r="AB247" s="4"/>
    </row>
    <row r="248" spans="2:26" s="4" customFormat="1" ht="5.25" customHeight="1">
      <c r="B248" s="25"/>
      <c r="N248" s="225"/>
      <c r="O248" s="89"/>
      <c r="Q248" s="90"/>
      <c r="T248" s="103"/>
      <c r="V248" s="92"/>
      <c r="X248" s="93"/>
      <c r="Z248" s="26"/>
    </row>
    <row r="249" spans="2:26" s="14" customFormat="1" ht="18" customHeight="1" thickBot="1">
      <c r="B249" s="110"/>
      <c r="D249" s="112" t="s">
        <v>149</v>
      </c>
      <c r="E249" s="195"/>
      <c r="F249" s="195"/>
      <c r="G249" s="195"/>
      <c r="H249" s="195"/>
      <c r="I249" s="195"/>
      <c r="J249" s="195"/>
      <c r="K249" s="195"/>
      <c r="L249" s="195"/>
      <c r="M249" s="195"/>
      <c r="N249" s="226"/>
      <c r="O249" s="127"/>
      <c r="P249" s="113"/>
      <c r="Q249" s="141"/>
      <c r="R249" s="113"/>
      <c r="S249" s="149"/>
      <c r="T249" s="142"/>
      <c r="U249" s="113"/>
      <c r="V249" s="155"/>
      <c r="W249" s="113"/>
      <c r="X249" s="164"/>
      <c r="Y249" s="67"/>
      <c r="Z249" s="114"/>
    </row>
    <row r="250" spans="2:26" ht="15" customHeight="1">
      <c r="B250" s="25"/>
      <c r="C250" s="4"/>
      <c r="D250" s="477"/>
      <c r="E250" s="78"/>
      <c r="F250" s="78"/>
      <c r="G250" s="78"/>
      <c r="H250" s="78"/>
      <c r="I250" s="78"/>
      <c r="J250" s="78"/>
      <c r="K250" s="78"/>
      <c r="L250" s="78"/>
      <c r="M250" s="78"/>
      <c r="N250" s="225"/>
      <c r="O250" s="89"/>
      <c r="P250" s="4"/>
      <c r="Q250" s="90"/>
      <c r="R250" s="4"/>
      <c r="S250" s="4"/>
      <c r="T250" s="103"/>
      <c r="U250" s="4"/>
      <c r="V250" s="92"/>
      <c r="W250" s="4"/>
      <c r="X250" s="93"/>
      <c r="Y250" s="4"/>
      <c r="Z250" s="26"/>
    </row>
    <row r="251" spans="2:26" ht="5.25" customHeight="1">
      <c r="B251" s="2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225"/>
      <c r="O251" s="89"/>
      <c r="P251" s="4"/>
      <c r="Q251" s="90"/>
      <c r="R251" s="4"/>
      <c r="S251" s="4"/>
      <c r="T251" s="103"/>
      <c r="U251" s="4"/>
      <c r="V251" s="92"/>
      <c r="W251" s="4"/>
      <c r="X251" s="93"/>
      <c r="Y251" s="4"/>
      <c r="Z251" s="26"/>
    </row>
    <row r="252" spans="2:26" s="4" customFormat="1" ht="6" customHeight="1">
      <c r="B252" s="25"/>
      <c r="N252" s="225"/>
      <c r="O252" s="89"/>
      <c r="Q252" s="90"/>
      <c r="T252" s="103"/>
      <c r="V252" s="92"/>
      <c r="X252" s="93"/>
      <c r="Z252" s="26"/>
    </row>
    <row r="253" spans="2:26" ht="5.25" customHeight="1">
      <c r="B253" s="2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225"/>
      <c r="O253" s="89"/>
      <c r="P253" s="4"/>
      <c r="Q253" s="90"/>
      <c r="R253" s="4"/>
      <c r="S253" s="4"/>
      <c r="T253" s="103"/>
      <c r="U253" s="4"/>
      <c r="V253" s="92"/>
      <c r="W253" s="4"/>
      <c r="X253" s="93"/>
      <c r="Y253" s="4"/>
      <c r="Z253" s="26"/>
    </row>
    <row r="254" spans="2:26" s="14" customFormat="1" ht="18" customHeight="1" thickBot="1">
      <c r="B254" s="110"/>
      <c r="C254" s="67"/>
      <c r="D254" s="489" t="s">
        <v>32</v>
      </c>
      <c r="E254" s="478"/>
      <c r="F254" s="478"/>
      <c r="G254" s="478"/>
      <c r="H254" s="478"/>
      <c r="I254" s="478"/>
      <c r="J254" s="478"/>
      <c r="K254" s="478"/>
      <c r="L254" s="478"/>
      <c r="M254" s="478"/>
      <c r="N254" s="480"/>
      <c r="O254" s="127"/>
      <c r="P254" s="113"/>
      <c r="Q254" s="141"/>
      <c r="R254" s="113"/>
      <c r="S254" s="149"/>
      <c r="T254" s="142"/>
      <c r="U254" s="113"/>
      <c r="V254" s="155"/>
      <c r="W254" s="113"/>
      <c r="X254" s="164"/>
      <c r="Y254" s="67"/>
      <c r="Z254" s="114"/>
    </row>
    <row r="255" spans="2:26" ht="25.5" customHeight="1">
      <c r="B255" s="25"/>
      <c r="C255" s="73"/>
      <c r="D255" s="491" t="s">
        <v>33</v>
      </c>
      <c r="E255" s="481"/>
      <c r="F255" s="481"/>
      <c r="G255" s="481"/>
      <c r="H255" s="481"/>
      <c r="I255" s="481"/>
      <c r="J255" s="481"/>
      <c r="K255" s="481"/>
      <c r="L255" s="481"/>
      <c r="M255" s="481"/>
      <c r="N255" s="482"/>
      <c r="O255" s="89"/>
      <c r="P255" s="4"/>
      <c r="Q255" s="90"/>
      <c r="R255" s="4"/>
      <c r="S255" s="4"/>
      <c r="T255" s="103"/>
      <c r="U255" s="4"/>
      <c r="V255" s="92"/>
      <c r="W255" s="4"/>
      <c r="X255" s="93"/>
      <c r="Y255" s="4"/>
      <c r="Z255" s="26"/>
    </row>
    <row r="256" spans="2:26" ht="15" customHeight="1">
      <c r="B256" s="25"/>
      <c r="C256" s="4"/>
      <c r="D256" s="477"/>
      <c r="E256" s="78"/>
      <c r="F256" s="78"/>
      <c r="G256" s="78"/>
      <c r="H256" s="78"/>
      <c r="I256" s="78"/>
      <c r="J256" s="78"/>
      <c r="K256" s="78"/>
      <c r="L256" s="78"/>
      <c r="M256" s="78"/>
      <c r="N256" s="225"/>
      <c r="O256" s="89"/>
      <c r="P256" s="4"/>
      <c r="Q256" s="90"/>
      <c r="R256" s="4"/>
      <c r="S256" s="4"/>
      <c r="T256" s="103"/>
      <c r="U256" s="4"/>
      <c r="V256" s="92"/>
      <c r="W256" s="4"/>
      <c r="X256" s="93"/>
      <c r="Y256" s="4"/>
      <c r="Z256" s="26"/>
    </row>
    <row r="257" spans="2:26" ht="5.25" customHeight="1">
      <c r="B257" s="2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225"/>
      <c r="O257" s="89"/>
      <c r="P257" s="4"/>
      <c r="Q257" s="90"/>
      <c r="R257" s="4"/>
      <c r="S257" s="4"/>
      <c r="T257" s="103"/>
      <c r="U257" s="4"/>
      <c r="V257" s="92"/>
      <c r="W257" s="4"/>
      <c r="X257" s="93"/>
      <c r="Y257" s="4"/>
      <c r="Z257" s="26"/>
    </row>
    <row r="258" spans="2:26" s="4" customFormat="1" ht="6" customHeight="1">
      <c r="B258" s="25"/>
      <c r="N258" s="225"/>
      <c r="O258" s="89"/>
      <c r="Q258" s="90"/>
      <c r="T258" s="103"/>
      <c r="V258" s="92"/>
      <c r="X258" s="93"/>
      <c r="Z258" s="26"/>
    </row>
    <row r="259" spans="2:26" ht="5.25" customHeight="1">
      <c r="B259" s="2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225"/>
      <c r="O259" s="89"/>
      <c r="P259" s="4"/>
      <c r="Q259" s="90"/>
      <c r="R259" s="4"/>
      <c r="S259" s="4"/>
      <c r="T259" s="103"/>
      <c r="U259" s="4"/>
      <c r="V259" s="92"/>
      <c r="W259" s="4"/>
      <c r="X259" s="93"/>
      <c r="Y259" s="4"/>
      <c r="Z259" s="26"/>
    </row>
    <row r="260" spans="2:26" s="14" customFormat="1" ht="18" customHeight="1" thickBot="1">
      <c r="B260" s="110"/>
      <c r="C260" s="112"/>
      <c r="D260" s="112" t="s">
        <v>211</v>
      </c>
      <c r="E260" s="113"/>
      <c r="F260" s="113"/>
      <c r="G260" s="113"/>
      <c r="H260" s="113"/>
      <c r="I260" s="113"/>
      <c r="J260" s="113"/>
      <c r="K260" s="113"/>
      <c r="L260" s="113"/>
      <c r="M260" s="113"/>
      <c r="N260" s="226"/>
      <c r="O260" s="127"/>
      <c r="P260" s="113"/>
      <c r="Q260" s="141"/>
      <c r="R260" s="113"/>
      <c r="S260" s="149"/>
      <c r="T260" s="142"/>
      <c r="U260" s="113"/>
      <c r="V260" s="155"/>
      <c r="W260" s="113"/>
      <c r="X260" s="164"/>
      <c r="Y260" s="67"/>
      <c r="Z260" s="114"/>
    </row>
    <row r="261" spans="2:26" ht="15" customHeight="1">
      <c r="B261" s="25"/>
      <c r="C261" s="4"/>
      <c r="D261" s="477"/>
      <c r="E261" s="78"/>
      <c r="F261" s="78"/>
      <c r="G261" s="78"/>
      <c r="H261" s="78"/>
      <c r="I261" s="78"/>
      <c r="J261" s="78"/>
      <c r="K261" s="78"/>
      <c r="L261" s="78"/>
      <c r="M261" s="78"/>
      <c r="N261" s="225"/>
      <c r="O261" s="89"/>
      <c r="P261" s="4"/>
      <c r="Q261" s="90"/>
      <c r="R261" s="4"/>
      <c r="S261" s="4"/>
      <c r="T261" s="103"/>
      <c r="U261" s="4"/>
      <c r="V261" s="92"/>
      <c r="W261" s="4"/>
      <c r="X261" s="93"/>
      <c r="Y261" s="4"/>
      <c r="Z261" s="26"/>
    </row>
    <row r="262" spans="2:26" ht="5.25" customHeight="1">
      <c r="B262" s="2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225"/>
      <c r="O262" s="89"/>
      <c r="P262" s="4"/>
      <c r="Q262" s="90"/>
      <c r="R262" s="4"/>
      <c r="S262" s="4"/>
      <c r="T262" s="103"/>
      <c r="U262" s="4"/>
      <c r="V262" s="92"/>
      <c r="W262" s="4"/>
      <c r="X262" s="93"/>
      <c r="Y262" s="4"/>
      <c r="Z262" s="26"/>
    </row>
    <row r="263" spans="2:26" s="4" customFormat="1" ht="5.25" customHeight="1" thickBot="1">
      <c r="B263" s="27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123"/>
      <c r="P263" s="28"/>
      <c r="Q263" s="133"/>
      <c r="R263" s="28"/>
      <c r="S263" s="28"/>
      <c r="T263" s="134"/>
      <c r="U263" s="28"/>
      <c r="V263" s="151"/>
      <c r="W263" s="28"/>
      <c r="X263" s="160"/>
      <c r="Y263" s="28"/>
      <c r="Z263" s="29"/>
    </row>
    <row r="264" spans="15:24" ht="9" customHeight="1" thickBot="1">
      <c r="O264" s="89"/>
      <c r="Q264" s="90"/>
      <c r="R264" s="4"/>
      <c r="S264" s="4"/>
      <c r="T264" s="103"/>
      <c r="V264" s="92"/>
      <c r="X264" s="93"/>
    </row>
    <row r="265" spans="2:26" ht="5.25" customHeight="1">
      <c r="B265" s="22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122"/>
      <c r="P265" s="23"/>
      <c r="Q265" s="131"/>
      <c r="R265" s="23"/>
      <c r="S265" s="23"/>
      <c r="T265" s="132"/>
      <c r="U265" s="23"/>
      <c r="V265" s="150"/>
      <c r="W265" s="23"/>
      <c r="X265" s="159"/>
      <c r="Y265" s="23"/>
      <c r="Z265" s="24"/>
    </row>
    <row r="266" spans="2:26" s="14" customFormat="1" ht="18" customHeight="1" thickBot="1">
      <c r="B266" s="110"/>
      <c r="C266" s="112" t="s">
        <v>108</v>
      </c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113"/>
      <c r="O266" s="127"/>
      <c r="P266" s="113"/>
      <c r="Q266" s="141"/>
      <c r="R266" s="113"/>
      <c r="S266" s="149"/>
      <c r="T266" s="142"/>
      <c r="U266" s="113"/>
      <c r="V266" s="155"/>
      <c r="W266" s="113"/>
      <c r="X266" s="164"/>
      <c r="Y266" s="67"/>
      <c r="Z266" s="114"/>
    </row>
    <row r="267" spans="2:26" s="14" customFormat="1" ht="13.5" customHeight="1">
      <c r="B267" s="110"/>
      <c r="C267" s="235" t="s">
        <v>109</v>
      </c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113"/>
      <c r="O267" s="127"/>
      <c r="P267" s="113"/>
      <c r="Q267" s="141"/>
      <c r="R267" s="113"/>
      <c r="S267" s="116"/>
      <c r="T267" s="142"/>
      <c r="U267" s="113"/>
      <c r="V267" s="155"/>
      <c r="W267" s="113"/>
      <c r="X267" s="164"/>
      <c r="Y267" s="67"/>
      <c r="Z267" s="114"/>
    </row>
    <row r="268" spans="2:26" ht="15" customHeight="1">
      <c r="B268" s="25"/>
      <c r="C268" s="477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4"/>
      <c r="O268" s="89"/>
      <c r="P268" s="4"/>
      <c r="Q268" s="90"/>
      <c r="R268" s="4"/>
      <c r="S268" s="4"/>
      <c r="T268" s="103"/>
      <c r="U268" s="4"/>
      <c r="V268" s="92"/>
      <c r="W268" s="4"/>
      <c r="X268" s="93"/>
      <c r="Y268" s="4"/>
      <c r="Z268" s="26"/>
    </row>
    <row r="269" spans="2:26" ht="5.25" customHeight="1" thickBot="1">
      <c r="B269" s="27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123"/>
      <c r="P269" s="28"/>
      <c r="Q269" s="133"/>
      <c r="R269" s="28"/>
      <c r="S269" s="28"/>
      <c r="T269" s="134"/>
      <c r="U269" s="28"/>
      <c r="V269" s="151"/>
      <c r="W269" s="28"/>
      <c r="X269" s="160"/>
      <c r="Y269" s="28"/>
      <c r="Z269" s="29"/>
    </row>
    <row r="270" spans="2:28" ht="9.75" customHeight="1" thickBo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89"/>
      <c r="P270" s="4"/>
      <c r="Q270" s="90"/>
      <c r="R270" s="4"/>
      <c r="S270" s="4"/>
      <c r="T270" s="103"/>
      <c r="U270" s="4"/>
      <c r="V270" s="92"/>
      <c r="W270" s="4"/>
      <c r="X270" s="93"/>
      <c r="Y270" s="4"/>
      <c r="Z270" s="4"/>
      <c r="AB270" s="4"/>
    </row>
    <row r="271" spans="2:26" ht="5.25" customHeight="1">
      <c r="B271" s="22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122"/>
      <c r="P271" s="23"/>
      <c r="Q271" s="131"/>
      <c r="R271" s="23"/>
      <c r="S271" s="23"/>
      <c r="T271" s="132"/>
      <c r="U271" s="23"/>
      <c r="V271" s="150"/>
      <c r="W271" s="23"/>
      <c r="X271" s="159"/>
      <c r="Y271" s="23"/>
      <c r="Z271" s="24"/>
    </row>
    <row r="272" spans="2:26" ht="17.25" customHeight="1">
      <c r="B272" s="25"/>
      <c r="C272" s="112" t="s">
        <v>83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89"/>
      <c r="P272" s="4"/>
      <c r="Q272" s="90"/>
      <c r="R272" s="4"/>
      <c r="S272" s="4"/>
      <c r="T272" s="103"/>
      <c r="U272" s="4"/>
      <c r="V272" s="92"/>
      <c r="W272" s="4"/>
      <c r="X272" s="93"/>
      <c r="Y272" s="4"/>
      <c r="Z272" s="26"/>
    </row>
    <row r="273" spans="2:26" s="4" customFormat="1" ht="5.25" customHeight="1">
      <c r="B273" s="25"/>
      <c r="O273" s="89"/>
      <c r="Q273" s="90"/>
      <c r="T273" s="103"/>
      <c r="V273" s="92"/>
      <c r="X273" s="93"/>
      <c r="Z273" s="26"/>
    </row>
    <row r="274" spans="2:26" s="14" customFormat="1" ht="18" customHeight="1" thickBot="1">
      <c r="B274" s="110"/>
      <c r="C274" s="489" t="s">
        <v>100</v>
      </c>
      <c r="D274" s="478"/>
      <c r="E274" s="478"/>
      <c r="F274" s="478"/>
      <c r="G274" s="478"/>
      <c r="H274" s="478"/>
      <c r="I274" s="478"/>
      <c r="J274" s="478"/>
      <c r="K274" s="478"/>
      <c r="L274" s="478"/>
      <c r="M274" s="478"/>
      <c r="N274" s="113"/>
      <c r="O274" s="127"/>
      <c r="P274" s="113"/>
      <c r="Q274" s="141"/>
      <c r="R274" s="113"/>
      <c r="S274" s="149"/>
      <c r="T274" s="142"/>
      <c r="U274" s="113"/>
      <c r="V274" s="155"/>
      <c r="W274" s="113"/>
      <c r="X274" s="164"/>
      <c r="Y274" s="67"/>
      <c r="Z274" s="114"/>
    </row>
    <row r="275" spans="2:26" s="14" customFormat="1" ht="8.25" customHeight="1">
      <c r="B275" s="110"/>
      <c r="C275" s="478"/>
      <c r="D275" s="478"/>
      <c r="E275" s="478"/>
      <c r="F275" s="478"/>
      <c r="G275" s="478"/>
      <c r="H275" s="478"/>
      <c r="I275" s="478"/>
      <c r="J275" s="478"/>
      <c r="K275" s="478"/>
      <c r="L275" s="478"/>
      <c r="M275" s="478"/>
      <c r="N275" s="113"/>
      <c r="O275" s="127"/>
      <c r="P275" s="113"/>
      <c r="Q275" s="141"/>
      <c r="R275" s="113"/>
      <c r="S275" s="116"/>
      <c r="T275" s="142"/>
      <c r="U275" s="113"/>
      <c r="V275" s="155"/>
      <c r="W275" s="113"/>
      <c r="X275" s="164"/>
      <c r="Y275" s="67"/>
      <c r="Z275" s="114"/>
    </row>
    <row r="276" spans="2:26" ht="15" customHeight="1">
      <c r="B276" s="25"/>
      <c r="C276" s="477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4"/>
      <c r="O276" s="89"/>
      <c r="P276" s="4"/>
      <c r="Q276" s="90"/>
      <c r="R276" s="4"/>
      <c r="S276" s="4"/>
      <c r="T276" s="103"/>
      <c r="U276" s="4"/>
      <c r="V276" s="92"/>
      <c r="W276" s="4"/>
      <c r="X276" s="93"/>
      <c r="Y276" s="4"/>
      <c r="Z276" s="26"/>
    </row>
    <row r="277" spans="2:26" ht="6.75" customHeight="1">
      <c r="B277" s="25"/>
      <c r="C277" s="4"/>
      <c r="D277" s="56"/>
      <c r="E277" s="56"/>
      <c r="F277" s="56"/>
      <c r="G277" s="56"/>
      <c r="H277" s="56"/>
      <c r="I277" s="56"/>
      <c r="J277" s="56"/>
      <c r="K277" s="4"/>
      <c r="L277" s="4"/>
      <c r="M277" s="4"/>
      <c r="N277" s="4"/>
      <c r="O277" s="89"/>
      <c r="P277" s="4"/>
      <c r="Q277" s="90"/>
      <c r="R277" s="4"/>
      <c r="S277" s="4"/>
      <c r="T277" s="103"/>
      <c r="U277" s="4"/>
      <c r="V277" s="92"/>
      <c r="W277" s="4"/>
      <c r="X277" s="93"/>
      <c r="Y277" s="4"/>
      <c r="Z277" s="26"/>
    </row>
    <row r="278" spans="2:26" ht="6.75" customHeight="1">
      <c r="B278" s="2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225"/>
      <c r="O278" s="89"/>
      <c r="P278" s="4"/>
      <c r="Q278" s="90"/>
      <c r="R278" s="4"/>
      <c r="S278" s="4"/>
      <c r="T278" s="103"/>
      <c r="U278" s="4"/>
      <c r="V278" s="92"/>
      <c r="W278" s="4"/>
      <c r="X278" s="93"/>
      <c r="Y278" s="4"/>
      <c r="Z278" s="26"/>
    </row>
    <row r="279" spans="2:26" ht="6.75" customHeight="1">
      <c r="B279" s="2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89"/>
      <c r="P279" s="4"/>
      <c r="Q279" s="90"/>
      <c r="R279" s="4"/>
      <c r="S279" s="4"/>
      <c r="T279" s="103"/>
      <c r="U279" s="4"/>
      <c r="V279" s="92"/>
      <c r="W279" s="4"/>
      <c r="X279" s="93"/>
      <c r="Y279" s="4"/>
      <c r="Z279" s="26"/>
    </row>
    <row r="280" spans="2:26" s="67" customFormat="1" ht="18" customHeight="1" thickBot="1">
      <c r="B280" s="110"/>
      <c r="C280" s="489" t="s">
        <v>229</v>
      </c>
      <c r="D280" s="478"/>
      <c r="E280" s="478"/>
      <c r="F280" s="478"/>
      <c r="G280" s="478"/>
      <c r="H280" s="478"/>
      <c r="I280" s="478"/>
      <c r="J280" s="478"/>
      <c r="K280" s="478"/>
      <c r="L280" s="478"/>
      <c r="M280" s="478"/>
      <c r="N280" s="113"/>
      <c r="O280" s="127"/>
      <c r="P280" s="113"/>
      <c r="Q280" s="141"/>
      <c r="R280" s="113"/>
      <c r="S280" s="149"/>
      <c r="T280" s="142"/>
      <c r="U280" s="113"/>
      <c r="V280" s="155"/>
      <c r="W280" s="113"/>
      <c r="X280" s="164"/>
      <c r="Z280" s="114"/>
    </row>
    <row r="281" spans="2:26" s="14" customFormat="1" ht="30" customHeight="1">
      <c r="B281" s="110"/>
      <c r="C281" s="478"/>
      <c r="D281" s="478"/>
      <c r="E281" s="478"/>
      <c r="F281" s="478"/>
      <c r="G281" s="478"/>
      <c r="H281" s="478"/>
      <c r="I281" s="478"/>
      <c r="J281" s="478"/>
      <c r="K281" s="478"/>
      <c r="L281" s="478"/>
      <c r="M281" s="478"/>
      <c r="N281" s="113"/>
      <c r="O281" s="127"/>
      <c r="P281" s="113"/>
      <c r="Q281" s="141"/>
      <c r="R281" s="113"/>
      <c r="S281" s="116"/>
      <c r="T281" s="142"/>
      <c r="U281" s="113"/>
      <c r="V281" s="155"/>
      <c r="W281" s="113"/>
      <c r="X281" s="164"/>
      <c r="Y281" s="67"/>
      <c r="Z281" s="114"/>
    </row>
    <row r="282" spans="2:26" s="68" customFormat="1" ht="12.75" customHeight="1">
      <c r="B282" s="69"/>
      <c r="C282" s="491" t="s">
        <v>35</v>
      </c>
      <c r="D282" s="490"/>
      <c r="E282" s="490"/>
      <c r="F282" s="490"/>
      <c r="G282" s="490"/>
      <c r="H282" s="490"/>
      <c r="I282" s="490"/>
      <c r="J282" s="490"/>
      <c r="K282" s="490"/>
      <c r="L282" s="490"/>
      <c r="M282" s="490"/>
      <c r="N282" s="73"/>
      <c r="O282" s="179"/>
      <c r="P282" s="73"/>
      <c r="Q282" s="180"/>
      <c r="R282" s="73"/>
      <c r="S282" s="73"/>
      <c r="T282" s="181"/>
      <c r="U282" s="73"/>
      <c r="V282" s="182"/>
      <c r="W282" s="73"/>
      <c r="X282" s="183"/>
      <c r="Y282" s="73"/>
      <c r="Z282" s="70"/>
    </row>
    <row r="283" spans="2:26" ht="15" customHeight="1">
      <c r="B283" s="25"/>
      <c r="C283" s="477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4"/>
      <c r="O283" s="89"/>
      <c r="P283" s="4"/>
      <c r="Q283" s="90"/>
      <c r="R283" s="4"/>
      <c r="S283" s="4"/>
      <c r="T283" s="103"/>
      <c r="U283" s="4"/>
      <c r="V283" s="92"/>
      <c r="W283" s="4"/>
      <c r="X283" s="93"/>
      <c r="Y283" s="4"/>
      <c r="Z283" s="26"/>
    </row>
    <row r="284" spans="2:26" ht="6.75" customHeight="1">
      <c r="B284" s="25"/>
      <c r="C284" s="4"/>
      <c r="D284" s="56"/>
      <c r="E284" s="56"/>
      <c r="F284" s="56"/>
      <c r="G284" s="56"/>
      <c r="H284" s="56"/>
      <c r="I284" s="56"/>
      <c r="J284" s="56"/>
      <c r="K284" s="4"/>
      <c r="L284" s="4"/>
      <c r="M284" s="4"/>
      <c r="N284" s="4"/>
      <c r="O284" s="89"/>
      <c r="P284" s="4"/>
      <c r="Q284" s="90"/>
      <c r="R284" s="4"/>
      <c r="S284" s="4"/>
      <c r="T284" s="103"/>
      <c r="U284" s="4"/>
      <c r="V284" s="92"/>
      <c r="W284" s="4"/>
      <c r="X284" s="93"/>
      <c r="Y284" s="4"/>
      <c r="Z284" s="26"/>
    </row>
    <row r="285" spans="2:26" ht="5.25" customHeight="1" thickBot="1">
      <c r="B285" s="27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123"/>
      <c r="P285" s="28"/>
      <c r="Q285" s="133"/>
      <c r="R285" s="28"/>
      <c r="S285" s="28"/>
      <c r="T285" s="134"/>
      <c r="U285" s="28"/>
      <c r="V285" s="151"/>
      <c r="W285" s="28"/>
      <c r="X285" s="160"/>
      <c r="Y285" s="28"/>
      <c r="Z285" s="29"/>
    </row>
    <row r="286" spans="2:26" ht="8.2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89"/>
      <c r="P286" s="4"/>
      <c r="Q286" s="90"/>
      <c r="R286" s="4"/>
      <c r="S286" s="4"/>
      <c r="T286" s="103"/>
      <c r="U286" s="4"/>
      <c r="V286" s="92"/>
      <c r="W286" s="4"/>
      <c r="X286" s="93"/>
      <c r="Y286" s="4"/>
      <c r="Z286" s="4"/>
    </row>
    <row r="287" spans="2:24" s="67" customFormat="1" ht="18">
      <c r="B287" s="94" t="s">
        <v>34</v>
      </c>
      <c r="C287" s="95"/>
      <c r="D287" s="96"/>
      <c r="E287" s="97"/>
      <c r="F287" s="98"/>
      <c r="G287" s="98"/>
      <c r="H287" s="98"/>
      <c r="I287" s="98"/>
      <c r="J287" s="98"/>
      <c r="K287" s="98"/>
      <c r="L287" s="98"/>
      <c r="M287" s="98"/>
      <c r="O287" s="99"/>
      <c r="Q287" s="100"/>
      <c r="T287" s="115"/>
      <c r="V287" s="101"/>
      <c r="X287" s="102"/>
    </row>
    <row r="288" spans="2:26" ht="5.25" customHeight="1" thickBo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89"/>
      <c r="P288" s="4"/>
      <c r="Q288" s="90"/>
      <c r="R288" s="4"/>
      <c r="S288" s="4"/>
      <c r="T288" s="103"/>
      <c r="U288" s="4"/>
      <c r="V288" s="92"/>
      <c r="W288" s="4"/>
      <c r="X288" s="93"/>
      <c r="Z288" s="4"/>
    </row>
    <row r="289" spans="2:26" s="4" customFormat="1" ht="5.25" customHeight="1">
      <c r="B289" s="22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122"/>
      <c r="P289" s="23"/>
      <c r="Q289" s="131"/>
      <c r="R289" s="23"/>
      <c r="S289" s="23"/>
      <c r="T289" s="132"/>
      <c r="U289" s="23"/>
      <c r="V289" s="150"/>
      <c r="W289" s="23"/>
      <c r="X289" s="159"/>
      <c r="Y289" s="23"/>
      <c r="Z289" s="24"/>
    </row>
    <row r="290" spans="2:26" ht="4.5" customHeight="1">
      <c r="B290" s="2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89"/>
      <c r="P290" s="4"/>
      <c r="Q290" s="90"/>
      <c r="R290" s="4"/>
      <c r="S290" s="4"/>
      <c r="T290" s="103"/>
      <c r="U290" s="4"/>
      <c r="V290" s="92"/>
      <c r="W290" s="4"/>
      <c r="X290" s="93"/>
      <c r="Y290" s="4"/>
      <c r="Z290" s="26"/>
    </row>
    <row r="291" spans="2:26" ht="18" customHeight="1" thickBot="1">
      <c r="B291" s="25"/>
      <c r="C291" s="427" t="s">
        <v>151</v>
      </c>
      <c r="D291" s="428"/>
      <c r="E291" s="428"/>
      <c r="F291" s="428"/>
      <c r="G291" s="428"/>
      <c r="H291" s="428"/>
      <c r="I291" s="428"/>
      <c r="J291" s="428"/>
      <c r="K291" s="428"/>
      <c r="L291" s="428"/>
      <c r="M291" s="428"/>
      <c r="N291" s="109"/>
      <c r="O291" s="128"/>
      <c r="P291" s="109"/>
      <c r="Q291" s="143"/>
      <c r="R291" s="109"/>
      <c r="S291" s="149"/>
      <c r="T291" s="144"/>
      <c r="U291" s="109"/>
      <c r="V291" s="156"/>
      <c r="W291" s="109"/>
      <c r="X291" s="165"/>
      <c r="Y291" s="426"/>
      <c r="Z291" s="26"/>
    </row>
    <row r="292" spans="2:26" ht="13.5" customHeight="1">
      <c r="B292" s="25"/>
      <c r="C292" s="493" t="s">
        <v>246</v>
      </c>
      <c r="D292" s="494"/>
      <c r="E292" s="494"/>
      <c r="F292" s="494"/>
      <c r="G292" s="494"/>
      <c r="H292" s="494"/>
      <c r="I292" s="494"/>
      <c r="J292" s="494"/>
      <c r="K292" s="494"/>
      <c r="L292" s="494"/>
      <c r="M292" s="494"/>
      <c r="N292" s="171"/>
      <c r="O292" s="172"/>
      <c r="P292" s="171"/>
      <c r="Q292" s="173"/>
      <c r="R292" s="171"/>
      <c r="S292" s="171"/>
      <c r="T292" s="174"/>
      <c r="U292" s="171"/>
      <c r="V292" s="184"/>
      <c r="W292" s="171"/>
      <c r="X292" s="175"/>
      <c r="Y292" s="426"/>
      <c r="Z292" s="26"/>
    </row>
    <row r="293" spans="2:26" ht="12.75" customHeight="1">
      <c r="B293" s="25"/>
      <c r="C293" s="477"/>
      <c r="D293" s="477"/>
      <c r="E293" s="378"/>
      <c r="F293" s="377"/>
      <c r="G293" s="377"/>
      <c r="H293" s="377"/>
      <c r="I293" s="377"/>
      <c r="J293" s="377"/>
      <c r="K293" s="377"/>
      <c r="L293" s="377"/>
      <c r="M293" s="377"/>
      <c r="N293" s="195"/>
      <c r="O293" s="89"/>
      <c r="P293" s="4"/>
      <c r="Q293" s="90"/>
      <c r="R293" s="4"/>
      <c r="S293" s="4"/>
      <c r="T293" s="103"/>
      <c r="U293" s="4"/>
      <c r="V293" s="92"/>
      <c r="W293" s="4"/>
      <c r="X293" s="93"/>
      <c r="Y293" s="4"/>
      <c r="Z293" s="26"/>
    </row>
    <row r="294" spans="2:26" ht="6.75" customHeight="1" thickBot="1">
      <c r="B294" s="27"/>
      <c r="C294" s="28"/>
      <c r="D294" s="28"/>
      <c r="E294" s="376"/>
      <c r="F294" s="376"/>
      <c r="G294" s="376"/>
      <c r="H294" s="376"/>
      <c r="I294" s="376"/>
      <c r="J294" s="376"/>
      <c r="K294" s="376"/>
      <c r="L294" s="28"/>
      <c r="M294" s="28"/>
      <c r="N294" s="28"/>
      <c r="O294" s="123"/>
      <c r="P294" s="28"/>
      <c r="Q294" s="133"/>
      <c r="R294" s="28"/>
      <c r="S294" s="28"/>
      <c r="T294" s="134"/>
      <c r="U294" s="28"/>
      <c r="V294" s="151"/>
      <c r="W294" s="28"/>
      <c r="X294" s="160"/>
      <c r="Y294" s="28"/>
      <c r="Z294" s="29"/>
    </row>
    <row r="295" spans="15:24" ht="9" customHeight="1">
      <c r="O295" s="89"/>
      <c r="Q295" s="90"/>
      <c r="R295" s="4"/>
      <c r="S295" s="4"/>
      <c r="T295" s="103"/>
      <c r="V295" s="92"/>
      <c r="X295" s="93"/>
    </row>
    <row r="296" spans="2:24" s="67" customFormat="1" ht="18">
      <c r="B296" s="94" t="s">
        <v>36</v>
      </c>
      <c r="C296" s="95"/>
      <c r="D296" s="96"/>
      <c r="E296" s="97"/>
      <c r="F296" s="98"/>
      <c r="G296" s="98"/>
      <c r="H296" s="98"/>
      <c r="I296" s="98"/>
      <c r="J296" s="98"/>
      <c r="K296" s="98"/>
      <c r="L296" s="98"/>
      <c r="M296" s="98"/>
      <c r="O296" s="99"/>
      <c r="Q296" s="100"/>
      <c r="T296" s="115"/>
      <c r="V296" s="101"/>
      <c r="X296" s="102"/>
    </row>
    <row r="297" spans="15:24" ht="9" customHeight="1">
      <c r="O297" s="89"/>
      <c r="Q297" s="90"/>
      <c r="R297" s="4"/>
      <c r="S297" s="4"/>
      <c r="T297" s="103"/>
      <c r="V297" s="92"/>
      <c r="X297" s="93"/>
    </row>
    <row r="298" spans="3:24" ht="9" customHeight="1" thickBot="1">
      <c r="C298" s="30"/>
      <c r="D298" s="31"/>
      <c r="O298" s="89"/>
      <c r="Q298" s="90"/>
      <c r="R298" s="4"/>
      <c r="S298" s="4"/>
      <c r="T298" s="103"/>
      <c r="V298" s="92"/>
      <c r="X298" s="93"/>
    </row>
    <row r="299" spans="2:26" ht="4.5" customHeight="1">
      <c r="B299" s="22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122"/>
      <c r="P299" s="23"/>
      <c r="Q299" s="131"/>
      <c r="R299" s="23"/>
      <c r="S299" s="23"/>
      <c r="T299" s="132"/>
      <c r="U299" s="23"/>
      <c r="V299" s="150"/>
      <c r="W299" s="23"/>
      <c r="X299" s="159"/>
      <c r="Y299" s="23"/>
      <c r="Z299" s="24"/>
    </row>
    <row r="300" spans="2:26" s="14" customFormat="1" ht="18" customHeight="1" thickBot="1">
      <c r="B300" s="110"/>
      <c r="C300" s="489" t="s">
        <v>150</v>
      </c>
      <c r="D300" s="492"/>
      <c r="E300" s="492"/>
      <c r="F300" s="492"/>
      <c r="G300" s="492"/>
      <c r="H300" s="492"/>
      <c r="I300" s="492"/>
      <c r="J300" s="492"/>
      <c r="K300" s="492"/>
      <c r="L300" s="492"/>
      <c r="M300" s="492"/>
      <c r="N300" s="113"/>
      <c r="O300" s="127"/>
      <c r="P300" s="113"/>
      <c r="Q300" s="141"/>
      <c r="R300" s="113"/>
      <c r="S300" s="149"/>
      <c r="T300" s="142"/>
      <c r="U300" s="113"/>
      <c r="V300" s="155"/>
      <c r="W300" s="113"/>
      <c r="X300" s="164"/>
      <c r="Y300" s="67"/>
      <c r="Z300" s="114"/>
    </row>
    <row r="301" spans="2:26" s="14" customFormat="1" ht="9" customHeight="1">
      <c r="B301" s="110"/>
      <c r="C301" s="492"/>
      <c r="D301" s="492"/>
      <c r="E301" s="492"/>
      <c r="F301" s="492"/>
      <c r="G301" s="492"/>
      <c r="H301" s="492"/>
      <c r="I301" s="492"/>
      <c r="J301" s="492"/>
      <c r="K301" s="492"/>
      <c r="L301" s="492"/>
      <c r="M301" s="492"/>
      <c r="N301" s="113"/>
      <c r="O301" s="127"/>
      <c r="P301" s="113"/>
      <c r="Q301" s="141"/>
      <c r="R301" s="113"/>
      <c r="S301" s="116"/>
      <c r="T301" s="142"/>
      <c r="U301" s="113"/>
      <c r="V301" s="155"/>
      <c r="W301" s="113"/>
      <c r="X301" s="164"/>
      <c r="Y301" s="67"/>
      <c r="Z301" s="114"/>
    </row>
    <row r="302" spans="2:26" ht="15" customHeight="1">
      <c r="B302" s="25"/>
      <c r="C302" s="477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4"/>
      <c r="O302" s="89"/>
      <c r="P302" s="4"/>
      <c r="Q302" s="90"/>
      <c r="R302" s="4"/>
      <c r="S302" s="4"/>
      <c r="T302" s="103"/>
      <c r="U302" s="4"/>
      <c r="V302" s="92"/>
      <c r="W302" s="4"/>
      <c r="X302" s="93"/>
      <c r="Y302" s="4"/>
      <c r="Z302" s="26"/>
    </row>
    <row r="303" spans="2:26" ht="5.25" customHeight="1" thickBot="1">
      <c r="B303" s="27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123"/>
      <c r="P303" s="28"/>
      <c r="Q303" s="133"/>
      <c r="R303" s="28"/>
      <c r="S303" s="28"/>
      <c r="T303" s="134"/>
      <c r="U303" s="28"/>
      <c r="V303" s="151"/>
      <c r="W303" s="28"/>
      <c r="X303" s="160"/>
      <c r="Y303" s="28"/>
      <c r="Z303" s="29"/>
    </row>
    <row r="304" spans="2:26" ht="8.25" customHeight="1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89"/>
      <c r="P304" s="4"/>
      <c r="Q304" s="90"/>
      <c r="R304" s="4"/>
      <c r="S304" s="4"/>
      <c r="T304" s="103"/>
      <c r="U304" s="4"/>
      <c r="V304" s="92"/>
      <c r="W304" s="4"/>
      <c r="X304" s="93"/>
      <c r="Y304" s="4"/>
      <c r="Z304" s="4"/>
    </row>
    <row r="305" spans="2:24" s="67" customFormat="1" ht="18">
      <c r="B305" s="94" t="s">
        <v>25</v>
      </c>
      <c r="C305" s="95"/>
      <c r="D305" s="96"/>
      <c r="E305" s="97"/>
      <c r="F305" s="98"/>
      <c r="G305" s="98"/>
      <c r="H305" s="98"/>
      <c r="I305" s="98"/>
      <c r="J305" s="98"/>
      <c r="K305" s="98"/>
      <c r="L305" s="98"/>
      <c r="M305" s="98"/>
      <c r="O305" s="99"/>
      <c r="Q305" s="100"/>
      <c r="T305" s="115"/>
      <c r="V305" s="101"/>
      <c r="X305" s="102"/>
    </row>
    <row r="306" spans="15:24" ht="9" customHeight="1" thickBot="1">
      <c r="O306" s="89"/>
      <c r="Q306" s="90"/>
      <c r="R306" s="4"/>
      <c r="S306" s="4"/>
      <c r="T306" s="103"/>
      <c r="V306" s="92"/>
      <c r="X306" s="93"/>
    </row>
    <row r="307" spans="2:26" ht="5.25" customHeight="1">
      <c r="B307" s="22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122"/>
      <c r="P307" s="23"/>
      <c r="Q307" s="131"/>
      <c r="R307" s="23"/>
      <c r="S307" s="23"/>
      <c r="T307" s="132"/>
      <c r="U307" s="23"/>
      <c r="V307" s="150"/>
      <c r="W307" s="23"/>
      <c r="X307" s="159"/>
      <c r="Y307" s="23"/>
      <c r="Z307" s="24"/>
    </row>
    <row r="308" spans="2:26" s="14" customFormat="1" ht="18" customHeight="1" thickBot="1">
      <c r="B308" s="110"/>
      <c r="C308" s="112" t="s">
        <v>79</v>
      </c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13"/>
      <c r="O308" s="127"/>
      <c r="P308" s="113"/>
      <c r="Q308" s="141"/>
      <c r="R308" s="113"/>
      <c r="S308" s="149"/>
      <c r="T308" s="142"/>
      <c r="U308" s="113"/>
      <c r="V308" s="155"/>
      <c r="W308" s="113"/>
      <c r="X308" s="164"/>
      <c r="Y308" s="67"/>
      <c r="Z308" s="114"/>
    </row>
    <row r="309" spans="2:26" ht="12" customHeight="1">
      <c r="B309" s="25"/>
      <c r="C309" s="108" t="s">
        <v>30</v>
      </c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4"/>
      <c r="O309" s="89"/>
      <c r="P309" s="4"/>
      <c r="Q309" s="90"/>
      <c r="R309" s="4"/>
      <c r="S309" s="4"/>
      <c r="T309" s="103"/>
      <c r="U309" s="4"/>
      <c r="V309" s="92"/>
      <c r="W309" s="4"/>
      <c r="X309" s="93"/>
      <c r="Y309" s="4"/>
      <c r="Z309" s="26"/>
    </row>
    <row r="310" spans="2:26" ht="15" customHeight="1">
      <c r="B310" s="25"/>
      <c r="C310" s="477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4"/>
      <c r="O310" s="89"/>
      <c r="P310" s="4"/>
      <c r="Q310" s="90"/>
      <c r="R310" s="4"/>
      <c r="S310" s="4"/>
      <c r="T310" s="103"/>
      <c r="U310" s="4"/>
      <c r="V310" s="92"/>
      <c r="W310" s="4"/>
      <c r="X310" s="93"/>
      <c r="Y310" s="4"/>
      <c r="Z310" s="26"/>
    </row>
    <row r="311" spans="2:26" ht="9" customHeight="1" thickBot="1">
      <c r="B311" s="27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123"/>
      <c r="P311" s="28"/>
      <c r="Q311" s="133"/>
      <c r="R311" s="28"/>
      <c r="S311" s="28"/>
      <c r="T311" s="134"/>
      <c r="U311" s="28"/>
      <c r="V311" s="151"/>
      <c r="W311" s="28"/>
      <c r="X311" s="160"/>
      <c r="Y311" s="28"/>
      <c r="Z311" s="29"/>
    </row>
    <row r="312" spans="15:24" ht="9" customHeight="1" thickBot="1">
      <c r="O312" s="89"/>
      <c r="Q312" s="90"/>
      <c r="R312" s="4"/>
      <c r="S312" s="4"/>
      <c r="T312" s="103"/>
      <c r="V312" s="92"/>
      <c r="X312" s="93"/>
    </row>
    <row r="313" spans="2:26" ht="5.25" customHeight="1">
      <c r="B313" s="22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122"/>
      <c r="P313" s="23"/>
      <c r="Q313" s="131"/>
      <c r="R313" s="23"/>
      <c r="S313" s="23"/>
      <c r="T313" s="132"/>
      <c r="U313" s="23"/>
      <c r="V313" s="150"/>
      <c r="W313" s="23"/>
      <c r="X313" s="159"/>
      <c r="Y313" s="23"/>
      <c r="Z313" s="24"/>
    </row>
    <row r="314" spans="2:26" s="14" customFormat="1" ht="18" customHeight="1" thickBot="1">
      <c r="B314" s="110"/>
      <c r="C314" s="80" t="s">
        <v>37</v>
      </c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113"/>
      <c r="O314" s="127"/>
      <c r="P314" s="113"/>
      <c r="Q314" s="141"/>
      <c r="R314" s="113"/>
      <c r="S314" s="149"/>
      <c r="T314" s="142"/>
      <c r="U314" s="113"/>
      <c r="V314" s="155"/>
      <c r="W314" s="113"/>
      <c r="X314" s="164"/>
      <c r="Y314" s="67"/>
      <c r="Z314" s="114"/>
    </row>
    <row r="315" spans="2:26" ht="15.75" customHeight="1">
      <c r="B315" s="25"/>
      <c r="C315" s="178" t="s">
        <v>38</v>
      </c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4"/>
      <c r="O315" s="89"/>
      <c r="P315" s="4"/>
      <c r="Q315" s="90"/>
      <c r="R315" s="4"/>
      <c r="S315" s="4"/>
      <c r="T315" s="103"/>
      <c r="U315" s="4"/>
      <c r="V315" s="92"/>
      <c r="W315" s="4"/>
      <c r="X315" s="93"/>
      <c r="Y315" s="4"/>
      <c r="Z315" s="26"/>
    </row>
    <row r="316" spans="2:26" ht="15" customHeight="1">
      <c r="B316" s="25"/>
      <c r="C316" s="477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4"/>
      <c r="O316" s="89"/>
      <c r="P316" s="4"/>
      <c r="Q316" s="90"/>
      <c r="R316" s="4"/>
      <c r="S316" s="4"/>
      <c r="T316" s="103"/>
      <c r="U316" s="4"/>
      <c r="V316" s="92"/>
      <c r="W316" s="4"/>
      <c r="X316" s="93"/>
      <c r="Y316" s="4"/>
      <c r="Z316" s="26"/>
    </row>
    <row r="317" spans="2:26" ht="5.25" customHeight="1" thickBot="1">
      <c r="B317" s="27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123"/>
      <c r="P317" s="28"/>
      <c r="Q317" s="133"/>
      <c r="R317" s="28"/>
      <c r="S317" s="28"/>
      <c r="T317" s="134"/>
      <c r="U317" s="28"/>
      <c r="V317" s="151"/>
      <c r="W317" s="28"/>
      <c r="X317" s="160"/>
      <c r="Y317" s="28"/>
      <c r="Z317" s="29"/>
    </row>
    <row r="318" spans="15:24" ht="9" customHeight="1" thickBot="1">
      <c r="O318" s="89"/>
      <c r="Q318" s="90"/>
      <c r="R318" s="4"/>
      <c r="S318" s="4"/>
      <c r="T318" s="103"/>
      <c r="V318" s="92"/>
      <c r="X318" s="93"/>
    </row>
    <row r="319" spans="2:26" ht="5.25" customHeight="1">
      <c r="B319" s="22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22"/>
      <c r="P319" s="23"/>
      <c r="Q319" s="131"/>
      <c r="R319" s="23"/>
      <c r="S319" s="23"/>
      <c r="T319" s="132"/>
      <c r="U319" s="23"/>
      <c r="V319" s="150"/>
      <c r="W319" s="23"/>
      <c r="X319" s="159"/>
      <c r="Y319" s="23"/>
      <c r="Z319" s="24"/>
    </row>
    <row r="320" spans="2:26" s="14" customFormat="1" ht="18" customHeight="1" thickBot="1">
      <c r="B320" s="110"/>
      <c r="C320" s="80" t="s">
        <v>86</v>
      </c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113"/>
      <c r="O320" s="127"/>
      <c r="P320" s="113"/>
      <c r="Q320" s="141"/>
      <c r="R320" s="113"/>
      <c r="S320" s="149"/>
      <c r="T320" s="142"/>
      <c r="U320" s="113"/>
      <c r="V320" s="155"/>
      <c r="W320" s="113"/>
      <c r="X320" s="164"/>
      <c r="Y320" s="67"/>
      <c r="Z320" s="114"/>
    </row>
    <row r="321" spans="2:26" ht="15" customHeight="1">
      <c r="B321" s="25"/>
      <c r="C321" s="477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4"/>
      <c r="O321" s="89"/>
      <c r="P321" s="4"/>
      <c r="Q321" s="90"/>
      <c r="R321" s="4"/>
      <c r="S321" s="4"/>
      <c r="T321" s="103"/>
      <c r="U321" s="4"/>
      <c r="V321" s="92"/>
      <c r="W321" s="4"/>
      <c r="X321" s="93"/>
      <c r="Y321" s="4"/>
      <c r="Z321" s="26"/>
    </row>
    <row r="322" spans="2:26" ht="5.25" customHeight="1" thickBot="1">
      <c r="B322" s="27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123"/>
      <c r="P322" s="28"/>
      <c r="Q322" s="133"/>
      <c r="R322" s="28"/>
      <c r="S322" s="28"/>
      <c r="T322" s="134"/>
      <c r="U322" s="28"/>
      <c r="V322" s="151"/>
      <c r="W322" s="28"/>
      <c r="X322" s="160"/>
      <c r="Y322" s="28"/>
      <c r="Z322" s="29"/>
    </row>
    <row r="323" spans="2:26" ht="4.5" customHeight="1" thickBot="1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117"/>
      <c r="P323" s="4"/>
      <c r="Q323" s="118"/>
      <c r="R323" s="119"/>
      <c r="S323" s="119"/>
      <c r="T323" s="120"/>
      <c r="U323" s="4"/>
      <c r="V323" s="121"/>
      <c r="W323" s="4"/>
      <c r="X323" s="168"/>
      <c r="Y323" s="4"/>
      <c r="Z323" s="4"/>
    </row>
    <row r="324" spans="3:4" ht="15">
      <c r="C324" s="30"/>
      <c r="D324" s="31"/>
    </row>
    <row r="325" spans="3:28" ht="12.75">
      <c r="C325" s="80"/>
      <c r="D325" s="79"/>
      <c r="E325" s="79"/>
      <c r="F325" s="79"/>
      <c r="G325" s="79"/>
      <c r="H325" s="79"/>
      <c r="I325" s="79"/>
      <c r="J325" s="79"/>
      <c r="K325" s="79"/>
      <c r="L325" s="79"/>
      <c r="M325" s="195"/>
      <c r="N325" s="113"/>
      <c r="O325" s="113"/>
      <c r="P325" s="113"/>
      <c r="Q325" s="113"/>
      <c r="R325" s="113"/>
      <c r="S325" s="116"/>
      <c r="T325" s="113"/>
      <c r="U325" s="113"/>
      <c r="V325" s="113"/>
      <c r="W325" s="113"/>
      <c r="X325" s="113"/>
      <c r="Y325" s="67"/>
      <c r="Z325" s="67"/>
      <c r="AA325" s="67"/>
      <c r="AB325" s="67"/>
    </row>
    <row r="326" spans="2:25" s="14" customFormat="1" ht="22.5" customHeight="1">
      <c r="B326" s="511" t="s">
        <v>41</v>
      </c>
      <c r="C326" s="492"/>
      <c r="D326" s="492"/>
      <c r="E326" s="492"/>
      <c r="F326" s="492"/>
      <c r="G326" s="492"/>
      <c r="H326" s="492"/>
      <c r="I326" s="492"/>
      <c r="J326" s="492"/>
      <c r="K326" s="492"/>
      <c r="L326" s="492"/>
      <c r="M326" s="492"/>
      <c r="N326" s="492"/>
      <c r="O326" s="492"/>
      <c r="P326" s="492"/>
      <c r="Q326" s="492"/>
      <c r="R326" s="492"/>
      <c r="S326" s="492"/>
      <c r="T326" s="492"/>
      <c r="U326" s="492"/>
      <c r="V326" s="492"/>
      <c r="W326" s="492"/>
      <c r="X326" s="492"/>
      <c r="Y326" s="492"/>
    </row>
    <row r="327" spans="2:25" s="14" customFormat="1" ht="22.5" customHeight="1">
      <c r="B327" s="417"/>
      <c r="C327" s="418"/>
      <c r="D327" s="418"/>
      <c r="E327" s="418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</row>
    <row r="328" spans="3:24" ht="12.75" customHeight="1">
      <c r="C328" s="470" t="str">
        <f>IF(AND('liens Q R'!M187=0,'liens Q R'!N189=0)," ","Attention !!")</f>
        <v>Attention !!</v>
      </c>
      <c r="Q328" s="504" t="s">
        <v>0</v>
      </c>
      <c r="R328" s="185"/>
      <c r="S328" s="518" t="s">
        <v>1</v>
      </c>
      <c r="T328" s="519"/>
      <c r="U328" s="472"/>
      <c r="V328" s="512" t="s">
        <v>61</v>
      </c>
      <c r="W328" s="474"/>
      <c r="X328" s="515" t="s">
        <v>3</v>
      </c>
    </row>
    <row r="329" spans="3:24" ht="12.75" customHeight="1">
      <c r="C329" s="470" t="str">
        <f>IF('liens Q R'!M187=0," ",CONCATENATE("Vous n'avez pas répondu à ",'liens Q R'!M187," question (s) !"))</f>
        <v>Vous n'avez pas répondu à 42 question (s) !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Q329" s="505"/>
      <c r="R329" s="186"/>
      <c r="S329" s="520"/>
      <c r="T329" s="521"/>
      <c r="U329" s="473"/>
      <c r="V329" s="513"/>
      <c r="W329" s="475"/>
      <c r="X329" s="516"/>
    </row>
    <row r="330" spans="3:24" ht="51" customHeight="1" thickBot="1">
      <c r="C330" s="471" t="str">
        <f>IF('liens Q R'!N189=0," ",CONCATENATE("Vous n'avez pas introduit d'occurrence pour ",'liens Q R'!N189," question (s) dont la réponse est 'Non' !"))</f>
        <v> </v>
      </c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Q330" s="506"/>
      <c r="R330" s="186"/>
      <c r="S330" s="522"/>
      <c r="T330" s="523"/>
      <c r="U330" s="473"/>
      <c r="V330" s="514"/>
      <c r="W330" s="475"/>
      <c r="X330" s="517"/>
    </row>
    <row r="331" ht="10.5" customHeight="1" thickBot="1">
      <c r="X331" s="38"/>
    </row>
    <row r="332" spans="2:28" s="14" customFormat="1" ht="19.5" customHeight="1" thickBot="1">
      <c r="B332" s="81" t="s">
        <v>8</v>
      </c>
      <c r="C332" s="32"/>
      <c r="D332" s="33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5"/>
      <c r="AB332" s="54"/>
    </row>
    <row r="333" ht="9.75" customHeight="1"/>
    <row r="334" spans="2:25" s="67" customFormat="1" ht="36" customHeight="1">
      <c r="B334" s="483">
        <v>1</v>
      </c>
      <c r="C334" s="484"/>
      <c r="D334" s="495" t="str">
        <f>IF(X334=" "," ",INDEX(calcul!C$10:C$22,MATCH(B334,calcul!K$10:K$22,0)))</f>
        <v> </v>
      </c>
      <c r="E334" s="481"/>
      <c r="F334" s="481"/>
      <c r="G334" s="481"/>
      <c r="H334" s="481"/>
      <c r="I334" s="481"/>
      <c r="J334" s="481"/>
      <c r="K334" s="481"/>
      <c r="L334" s="481"/>
      <c r="M334" s="481"/>
      <c r="N334" s="239"/>
      <c r="O334" s="360" t="str">
        <f>IF(X334="-","?"," ")</f>
        <v> </v>
      </c>
      <c r="P334" s="239"/>
      <c r="Q334" s="361" t="str">
        <f>INDEX(calcul!AK$10:AK$22,MATCH(B334,calcul!K$10:K$22,0))</f>
        <v> </v>
      </c>
      <c r="R334" s="362"/>
      <c r="S334" s="499" t="str">
        <f>INDEX(calcul!AL$10:AL$22,MATCH(B334,calcul!K$10:K$22,0))</f>
        <v> </v>
      </c>
      <c r="T334" s="499"/>
      <c r="U334" s="362"/>
      <c r="V334" s="303" t="str">
        <f>INDEX(calcul!AM$10:AM$22,MATCH(B334,calcul!K$10:K$22,0))</f>
        <v> </v>
      </c>
      <c r="W334" s="362"/>
      <c r="X334" s="363" t="str">
        <f>INDEX(calcul!AN$10:AN$22,MATCH(B334,calcul!K$10:K$22,0))</f>
        <v> </v>
      </c>
      <c r="Y334" s="364"/>
    </row>
    <row r="335" spans="2:25" s="14" customFormat="1" ht="33.75" customHeight="1">
      <c r="B335" s="357"/>
      <c r="C335" s="358"/>
      <c r="D335" s="502" t="str">
        <f>IF(X334=" "," ",INDEX(calcul!E$10:E$22,MATCH(B334,calcul!K$10:K$22,0)))</f>
        <v> </v>
      </c>
      <c r="E335" s="543"/>
      <c r="F335" s="543"/>
      <c r="G335" s="543"/>
      <c r="H335" s="543"/>
      <c r="I335" s="543"/>
      <c r="J335" s="543"/>
      <c r="K335" s="543"/>
      <c r="L335" s="543"/>
      <c r="M335" s="543"/>
      <c r="N335" s="61"/>
      <c r="O335" s="187"/>
      <c r="P335" s="61"/>
      <c r="Q335" s="62"/>
      <c r="R335" s="188"/>
      <c r="S335" s="356"/>
      <c r="T335" s="356"/>
      <c r="U335" s="188"/>
      <c r="V335" s="190"/>
      <c r="W335" s="188"/>
      <c r="X335" s="189"/>
      <c r="Y335" s="47"/>
    </row>
    <row r="336" spans="2:25" s="67" customFormat="1" ht="36" customHeight="1">
      <c r="B336" s="487">
        <v>2</v>
      </c>
      <c r="C336" s="488"/>
      <c r="D336" s="495" t="str">
        <f>IF(X336=" "," ",INDEX(calcul!C$10:C$22,MATCH(B336,calcul!K$10:K$22,0)))</f>
        <v> </v>
      </c>
      <c r="E336" s="481"/>
      <c r="F336" s="481"/>
      <c r="G336" s="481"/>
      <c r="H336" s="481"/>
      <c r="I336" s="481"/>
      <c r="J336" s="481"/>
      <c r="K336" s="481"/>
      <c r="L336" s="481"/>
      <c r="M336" s="481"/>
      <c r="N336" s="239"/>
      <c r="O336" s="360" t="str">
        <f>IF(X336="-","?"," ")</f>
        <v> </v>
      </c>
      <c r="P336" s="239"/>
      <c r="Q336" s="361" t="str">
        <f>INDEX(calcul!AK$10:AK$22,MATCH(B336,calcul!K$10:K$22,0))</f>
        <v> </v>
      </c>
      <c r="R336" s="362"/>
      <c r="S336" s="499" t="str">
        <f>INDEX(calcul!AL$10:AL$22,MATCH(B336,calcul!K$10:K$22,0))</f>
        <v> </v>
      </c>
      <c r="T336" s="499"/>
      <c r="U336" s="362"/>
      <c r="V336" s="304" t="str">
        <f>INDEX(calcul!AM$10:AM$22,MATCH(B336,calcul!K$10:K$22,0))</f>
        <v> </v>
      </c>
      <c r="W336" s="362"/>
      <c r="X336" s="363" t="str">
        <f>INDEX(calcul!AN$10:AN$22,MATCH(B336,calcul!K$10:K$22,0))</f>
        <v> </v>
      </c>
      <c r="Y336" s="366"/>
    </row>
    <row r="337" spans="2:25" s="14" customFormat="1" ht="33.75" customHeight="1">
      <c r="B337" s="357"/>
      <c r="C337" s="358"/>
      <c r="D337" s="502" t="str">
        <f>IF(X336=" "," ",INDEX(calcul!E$10:E$22,MATCH(B336,calcul!K$10:K$22,0)))</f>
        <v> </v>
      </c>
      <c r="E337" s="503"/>
      <c r="F337" s="503"/>
      <c r="G337" s="503"/>
      <c r="H337" s="503"/>
      <c r="I337" s="503"/>
      <c r="J337" s="503"/>
      <c r="K337" s="503"/>
      <c r="L337" s="503"/>
      <c r="M337" s="503"/>
      <c r="N337" s="61"/>
      <c r="O337" s="187"/>
      <c r="P337" s="61"/>
      <c r="Q337" s="62"/>
      <c r="R337" s="188"/>
      <c r="S337" s="356"/>
      <c r="T337" s="356"/>
      <c r="U337" s="188"/>
      <c r="V337" s="190"/>
      <c r="W337" s="188"/>
      <c r="X337" s="189"/>
      <c r="Y337" s="202"/>
    </row>
    <row r="338" spans="2:25" s="67" customFormat="1" ht="36" customHeight="1">
      <c r="B338" s="487">
        <v>3</v>
      </c>
      <c r="C338" s="488"/>
      <c r="D338" s="495" t="str">
        <f>IF(X338=" "," ",INDEX(calcul!C$10:C$22,MATCH(B338,calcul!K$10:K$22,0)))</f>
        <v> </v>
      </c>
      <c r="E338" s="481"/>
      <c r="F338" s="481"/>
      <c r="G338" s="481"/>
      <c r="H338" s="481"/>
      <c r="I338" s="481"/>
      <c r="J338" s="481"/>
      <c r="K338" s="481"/>
      <c r="L338" s="481"/>
      <c r="M338" s="481"/>
      <c r="N338" s="239"/>
      <c r="O338" s="360" t="str">
        <f>IF(X338="-","?"," ")</f>
        <v> </v>
      </c>
      <c r="P338" s="239"/>
      <c r="Q338" s="361" t="str">
        <f>INDEX(calcul!AK$10:AK$22,MATCH(B338,calcul!K$10:K$22,0))</f>
        <v> </v>
      </c>
      <c r="R338" s="362"/>
      <c r="S338" s="499" t="str">
        <f>INDEX(calcul!AL$10:AL$22,MATCH(B338,calcul!K$10:K$22,0))</f>
        <v> </v>
      </c>
      <c r="T338" s="499"/>
      <c r="U338" s="362"/>
      <c r="V338" s="304" t="str">
        <f>INDEX(calcul!AM$10:AM$22,MATCH(B338,calcul!K$10:K$22,0))</f>
        <v> </v>
      </c>
      <c r="W338" s="362"/>
      <c r="X338" s="363" t="str">
        <f>INDEX(calcul!AN$10:AN$22,MATCH(B338,calcul!K$10:K$22,0))</f>
        <v> </v>
      </c>
      <c r="Y338" s="366"/>
    </row>
    <row r="339" spans="2:25" s="14" customFormat="1" ht="33.75" customHeight="1">
      <c r="B339" s="357"/>
      <c r="C339" s="358"/>
      <c r="D339" s="502" t="str">
        <f>IF(X338=" "," ",INDEX(calcul!E$10:E$22,MATCH(B338,calcul!K$10:K$22,0)))</f>
        <v> </v>
      </c>
      <c r="E339" s="503"/>
      <c r="F339" s="503"/>
      <c r="G339" s="503"/>
      <c r="H339" s="503"/>
      <c r="I339" s="503"/>
      <c r="J339" s="503"/>
      <c r="K339" s="503"/>
      <c r="L339" s="503"/>
      <c r="M339" s="503"/>
      <c r="N339" s="61"/>
      <c r="O339" s="187"/>
      <c r="P339" s="61"/>
      <c r="Q339" s="62"/>
      <c r="R339" s="188"/>
      <c r="S339" s="356"/>
      <c r="T339" s="356"/>
      <c r="U339" s="188"/>
      <c r="V339" s="190"/>
      <c r="W339" s="188"/>
      <c r="X339" s="189"/>
      <c r="Y339" s="202"/>
    </row>
    <row r="340" spans="2:25" s="67" customFormat="1" ht="36" customHeight="1">
      <c r="B340" s="487">
        <v>4</v>
      </c>
      <c r="C340" s="488"/>
      <c r="D340" s="495" t="str">
        <f>IF(X340=" "," ",INDEX(calcul!C$10:C$22,MATCH(B340,calcul!K$10:K$22,0)))</f>
        <v> </v>
      </c>
      <c r="E340" s="481"/>
      <c r="F340" s="481"/>
      <c r="G340" s="481"/>
      <c r="H340" s="481"/>
      <c r="I340" s="481"/>
      <c r="J340" s="481"/>
      <c r="K340" s="481"/>
      <c r="L340" s="481"/>
      <c r="M340" s="481"/>
      <c r="N340" s="239"/>
      <c r="O340" s="360" t="str">
        <f>IF(X340="-","?"," ")</f>
        <v> </v>
      </c>
      <c r="P340" s="239"/>
      <c r="Q340" s="361" t="str">
        <f>INDEX(calcul!AK$10:AK$22,MATCH(B340,calcul!K$10:K$22,0))</f>
        <v> </v>
      </c>
      <c r="R340" s="362"/>
      <c r="S340" s="499" t="str">
        <f>INDEX(calcul!AL$10:AL$22,MATCH(B340,calcul!K$10:K$22,0))</f>
        <v> </v>
      </c>
      <c r="T340" s="499"/>
      <c r="U340" s="362"/>
      <c r="V340" s="304" t="str">
        <f>INDEX(calcul!AM$10:AM$22,MATCH(B340,calcul!K$10:K$22,0))</f>
        <v> </v>
      </c>
      <c r="W340" s="362"/>
      <c r="X340" s="363" t="str">
        <f>INDEX(calcul!AN$10:AN$22,MATCH(B340,calcul!K$10:K$22,0))</f>
        <v> </v>
      </c>
      <c r="Y340" s="366"/>
    </row>
    <row r="341" spans="2:25" s="14" customFormat="1" ht="33.75" customHeight="1">
      <c r="B341" s="357"/>
      <c r="C341" s="358"/>
      <c r="D341" s="502" t="str">
        <f>IF(X340=" "," ",INDEX(calcul!E$10:E$22,MATCH(B340,calcul!K$10:K$22,0)))</f>
        <v> </v>
      </c>
      <c r="E341" s="543"/>
      <c r="F341" s="543"/>
      <c r="G341" s="543"/>
      <c r="H341" s="543"/>
      <c r="I341" s="543"/>
      <c r="J341" s="543"/>
      <c r="K341" s="543"/>
      <c r="L341" s="543"/>
      <c r="M341" s="543"/>
      <c r="N341" s="61"/>
      <c r="O341" s="187"/>
      <c r="P341" s="61"/>
      <c r="Q341" s="62"/>
      <c r="R341" s="188"/>
      <c r="S341" s="356"/>
      <c r="T341" s="356"/>
      <c r="U341" s="188"/>
      <c r="V341" s="190"/>
      <c r="W341" s="188"/>
      <c r="X341" s="189"/>
      <c r="Y341" s="202"/>
    </row>
    <row r="342" spans="2:25" s="67" customFormat="1" ht="36" customHeight="1">
      <c r="B342" s="487">
        <v>5</v>
      </c>
      <c r="C342" s="488"/>
      <c r="D342" s="495" t="str">
        <f>IF(X342=" "," ",INDEX(calcul!C$10:C$22,MATCH(B342,calcul!K$10:K$22,0)))</f>
        <v> </v>
      </c>
      <c r="E342" s="481"/>
      <c r="F342" s="481"/>
      <c r="G342" s="481"/>
      <c r="H342" s="481"/>
      <c r="I342" s="481"/>
      <c r="J342" s="481"/>
      <c r="K342" s="481"/>
      <c r="L342" s="481"/>
      <c r="M342" s="481"/>
      <c r="N342" s="239"/>
      <c r="O342" s="360" t="str">
        <f>IF(X342="-","?"," ")</f>
        <v> </v>
      </c>
      <c r="P342" s="239"/>
      <c r="Q342" s="361" t="str">
        <f>INDEX(calcul!AK$10:AK$22,MATCH(B342,calcul!K$10:K$22,0))</f>
        <v> </v>
      </c>
      <c r="R342" s="362"/>
      <c r="S342" s="499" t="str">
        <f>INDEX(calcul!AL$10:AL$22,MATCH(B342,calcul!K$10:K$22,0))</f>
        <v> </v>
      </c>
      <c r="T342" s="499"/>
      <c r="U342" s="362"/>
      <c r="V342" s="304" t="str">
        <f>INDEX(calcul!AM$10:AM$22,MATCH(B342,calcul!K$10:K$22,0))</f>
        <v> </v>
      </c>
      <c r="W342" s="362"/>
      <c r="X342" s="363" t="str">
        <f>INDEX(calcul!AN$10:AN$22,MATCH(B342,calcul!K$10:K$22,0))</f>
        <v> </v>
      </c>
      <c r="Y342" s="366"/>
    </row>
    <row r="343" spans="2:25" s="14" customFormat="1" ht="33.75" customHeight="1">
      <c r="B343" s="357"/>
      <c r="C343" s="358"/>
      <c r="D343" s="502" t="str">
        <f>IF(X342=" "," ",INDEX(calcul!E$10:E$22,MATCH(B342,calcul!K$10:K$22,0)))</f>
        <v> </v>
      </c>
      <c r="E343" s="503"/>
      <c r="F343" s="503"/>
      <c r="G343" s="503"/>
      <c r="H343" s="503"/>
      <c r="I343" s="503"/>
      <c r="J343" s="503"/>
      <c r="K343" s="503"/>
      <c r="L343" s="503"/>
      <c r="M343" s="503"/>
      <c r="N343" s="61"/>
      <c r="O343" s="187"/>
      <c r="P343" s="61"/>
      <c r="Q343" s="62"/>
      <c r="R343" s="188"/>
      <c r="S343" s="356"/>
      <c r="T343" s="356"/>
      <c r="U343" s="188"/>
      <c r="V343" s="190"/>
      <c r="W343" s="188"/>
      <c r="X343" s="189"/>
      <c r="Y343" s="202"/>
    </row>
    <row r="344" spans="2:25" s="67" customFormat="1" ht="36" customHeight="1">
      <c r="B344" s="487">
        <v>6</v>
      </c>
      <c r="C344" s="488"/>
      <c r="D344" s="495" t="str">
        <f>IF(X344=" "," ",INDEX(calcul!C$10:C$22,MATCH(B344,calcul!K$10:K$22,0)))</f>
        <v> </v>
      </c>
      <c r="E344" s="481"/>
      <c r="F344" s="481"/>
      <c r="G344" s="481"/>
      <c r="H344" s="481"/>
      <c r="I344" s="481"/>
      <c r="J344" s="481"/>
      <c r="K344" s="481"/>
      <c r="L344" s="481"/>
      <c r="M344" s="481"/>
      <c r="N344" s="239"/>
      <c r="O344" s="360" t="str">
        <f>IF(X344="-","?"," ")</f>
        <v> </v>
      </c>
      <c r="P344" s="239"/>
      <c r="Q344" s="361" t="str">
        <f>INDEX(calcul!AK$10:AK$22,MATCH(B344,calcul!K$10:K$22,0))</f>
        <v> </v>
      </c>
      <c r="R344" s="362"/>
      <c r="S344" s="499" t="str">
        <f>INDEX(calcul!AL$10:AL$22,MATCH(B344,calcul!K$10:K$22,0))</f>
        <v> </v>
      </c>
      <c r="T344" s="499"/>
      <c r="U344" s="362"/>
      <c r="V344" s="304" t="str">
        <f>INDEX(calcul!AM$10:AM$22,MATCH(B344,calcul!K$10:K$22,0))</f>
        <v> </v>
      </c>
      <c r="W344" s="362"/>
      <c r="X344" s="363" t="str">
        <f>INDEX(calcul!AN$10:AN$22,MATCH(B344,calcul!K$10:K$22,0))</f>
        <v> </v>
      </c>
      <c r="Y344" s="366"/>
    </row>
    <row r="345" spans="2:25" s="14" customFormat="1" ht="33.75" customHeight="1">
      <c r="B345" s="357"/>
      <c r="C345" s="358"/>
      <c r="D345" s="502" t="str">
        <f>IF(X344=" "," ",INDEX(calcul!E$10:E$22,MATCH(B344,calcul!K$10:K$22,0)))</f>
        <v> </v>
      </c>
      <c r="E345" s="503"/>
      <c r="F345" s="503"/>
      <c r="G345" s="503"/>
      <c r="H345" s="503"/>
      <c r="I345" s="503"/>
      <c r="J345" s="503"/>
      <c r="K345" s="503"/>
      <c r="L345" s="503"/>
      <c r="M345" s="503"/>
      <c r="N345" s="61"/>
      <c r="O345" s="187"/>
      <c r="P345" s="61"/>
      <c r="Q345" s="62"/>
      <c r="R345" s="188"/>
      <c r="S345" s="356"/>
      <c r="T345" s="356"/>
      <c r="U345" s="188"/>
      <c r="V345" s="190"/>
      <c r="W345" s="188"/>
      <c r="X345" s="189"/>
      <c r="Y345" s="202"/>
    </row>
    <row r="346" spans="2:25" s="67" customFormat="1" ht="36" customHeight="1">
      <c r="B346" s="487">
        <v>7</v>
      </c>
      <c r="C346" s="488"/>
      <c r="D346" s="495" t="str">
        <f>IF(X346=" "," ",INDEX(calcul!C$10:C$22,MATCH(B346,calcul!K$10:K$22,0)))</f>
        <v> </v>
      </c>
      <c r="E346" s="481"/>
      <c r="F346" s="481"/>
      <c r="G346" s="481"/>
      <c r="H346" s="481"/>
      <c r="I346" s="481"/>
      <c r="J346" s="481"/>
      <c r="K346" s="481"/>
      <c r="L346" s="481"/>
      <c r="M346" s="481"/>
      <c r="N346" s="239"/>
      <c r="O346" s="360" t="str">
        <f>IF(X346="-","?"," ")</f>
        <v> </v>
      </c>
      <c r="P346" s="239"/>
      <c r="Q346" s="361" t="str">
        <f>INDEX(calcul!AK$10:AK$22,MATCH(B346,calcul!K$10:K$22,0))</f>
        <v> </v>
      </c>
      <c r="R346" s="362"/>
      <c r="S346" s="499" t="str">
        <f>INDEX(calcul!AL$10:AL$22,MATCH(B346,calcul!K$10:K$22,0))</f>
        <v> </v>
      </c>
      <c r="T346" s="499"/>
      <c r="U346" s="362"/>
      <c r="V346" s="304" t="str">
        <f>INDEX(calcul!AM$10:AM$22,MATCH(B346,calcul!K$10:K$22,0))</f>
        <v> </v>
      </c>
      <c r="W346" s="362"/>
      <c r="X346" s="363" t="str">
        <f>INDEX(calcul!AN$10:AN$22,MATCH(B346,calcul!K$10:K$22,0))</f>
        <v> </v>
      </c>
      <c r="Y346" s="366"/>
    </row>
    <row r="347" spans="2:25" s="14" customFormat="1" ht="33.75" customHeight="1">
      <c r="B347" s="357"/>
      <c r="C347" s="358"/>
      <c r="D347" s="502" t="str">
        <f>IF(X346=" "," ",INDEX(calcul!E$10:E$22,MATCH(B346,calcul!K$10:K$22,0)))</f>
        <v> </v>
      </c>
      <c r="E347" s="503"/>
      <c r="F347" s="503"/>
      <c r="G347" s="503"/>
      <c r="H347" s="503"/>
      <c r="I347" s="503"/>
      <c r="J347" s="503"/>
      <c r="K347" s="503"/>
      <c r="L347" s="503"/>
      <c r="M347" s="503"/>
      <c r="N347" s="61"/>
      <c r="O347" s="187"/>
      <c r="P347" s="61"/>
      <c r="Q347" s="62"/>
      <c r="R347" s="188"/>
      <c r="S347" s="356"/>
      <c r="T347" s="356"/>
      <c r="U347" s="188"/>
      <c r="V347" s="190"/>
      <c r="W347" s="188"/>
      <c r="X347" s="189"/>
      <c r="Y347" s="202"/>
    </row>
    <row r="348" spans="2:25" s="67" customFormat="1" ht="36" customHeight="1">
      <c r="B348" s="487">
        <v>8</v>
      </c>
      <c r="C348" s="488"/>
      <c r="D348" s="495" t="str">
        <f>IF(X348=" "," ",INDEX(calcul!C$10:C$22,MATCH(B348,calcul!K$10:K$22,0)))</f>
        <v> </v>
      </c>
      <c r="E348" s="481"/>
      <c r="F348" s="481"/>
      <c r="G348" s="481"/>
      <c r="H348" s="481"/>
      <c r="I348" s="481"/>
      <c r="J348" s="481"/>
      <c r="K348" s="481"/>
      <c r="L348" s="481"/>
      <c r="M348" s="481"/>
      <c r="N348" s="239"/>
      <c r="O348" s="360" t="str">
        <f>IF(X348="-","?"," ")</f>
        <v> </v>
      </c>
      <c r="P348" s="239"/>
      <c r="Q348" s="361" t="str">
        <f>INDEX(calcul!AK$10:AK$22,MATCH(B348,calcul!K$10:K$22,0))</f>
        <v> </v>
      </c>
      <c r="R348" s="362"/>
      <c r="S348" s="499" t="str">
        <f>INDEX(calcul!AL$10:AL$22,MATCH(B348,calcul!K$10:K$22,0))</f>
        <v> </v>
      </c>
      <c r="T348" s="499"/>
      <c r="U348" s="362"/>
      <c r="V348" s="304" t="str">
        <f>INDEX(calcul!AM$10:AM$22,MATCH(B348,calcul!K$10:K$22,0))</f>
        <v> </v>
      </c>
      <c r="W348" s="362"/>
      <c r="X348" s="363" t="str">
        <f>INDEX(calcul!AN$10:AN$22,MATCH(B348,calcul!K$10:K$22,0))</f>
        <v> </v>
      </c>
      <c r="Y348" s="366"/>
    </row>
    <row r="349" spans="2:25" s="14" customFormat="1" ht="33.75" customHeight="1">
      <c r="B349" s="357"/>
      <c r="C349" s="358"/>
      <c r="D349" s="502" t="str">
        <f>IF(X348=" "," ",INDEX(calcul!E$10:E$22,MATCH(B348,calcul!K$10:K$22,0)))</f>
        <v> </v>
      </c>
      <c r="E349" s="503"/>
      <c r="F349" s="503"/>
      <c r="G349" s="503"/>
      <c r="H349" s="503"/>
      <c r="I349" s="503"/>
      <c r="J349" s="503"/>
      <c r="K349" s="503"/>
      <c r="L349" s="503"/>
      <c r="M349" s="503"/>
      <c r="N349" s="61"/>
      <c r="O349" s="187"/>
      <c r="P349" s="61"/>
      <c r="Q349" s="62"/>
      <c r="R349" s="188"/>
      <c r="S349" s="356"/>
      <c r="T349" s="356"/>
      <c r="U349" s="188"/>
      <c r="V349" s="190"/>
      <c r="W349" s="188"/>
      <c r="X349" s="189"/>
      <c r="Y349" s="202"/>
    </row>
    <row r="350" spans="2:25" s="67" customFormat="1" ht="36" customHeight="1">
      <c r="B350" s="487">
        <v>9</v>
      </c>
      <c r="C350" s="488"/>
      <c r="D350" s="495" t="str">
        <f>IF(X350=" "," ",INDEX(calcul!C$10:C$22,MATCH(B350,calcul!K$10:K$22,0)))</f>
        <v> </v>
      </c>
      <c r="E350" s="481"/>
      <c r="F350" s="481"/>
      <c r="G350" s="481"/>
      <c r="H350" s="481"/>
      <c r="I350" s="481"/>
      <c r="J350" s="481"/>
      <c r="K350" s="481"/>
      <c r="L350" s="481"/>
      <c r="M350" s="481"/>
      <c r="N350" s="239"/>
      <c r="O350" s="360" t="str">
        <f>IF(X350="-","?"," ")</f>
        <v> </v>
      </c>
      <c r="P350" s="239"/>
      <c r="Q350" s="361" t="str">
        <f>INDEX(calcul!AK$10:AK$22,MATCH(B350,calcul!K$10:K$22,0))</f>
        <v> </v>
      </c>
      <c r="R350" s="362"/>
      <c r="S350" s="499" t="str">
        <f>INDEX(calcul!AL$10:AL$22,MATCH(B350,calcul!K$10:K$22,0))</f>
        <v> </v>
      </c>
      <c r="T350" s="499"/>
      <c r="U350" s="362"/>
      <c r="V350" s="304" t="str">
        <f>INDEX(calcul!AM$10:AM$22,MATCH(B350,calcul!K$10:K$22,0))</f>
        <v> </v>
      </c>
      <c r="W350" s="362"/>
      <c r="X350" s="363" t="str">
        <f>INDEX(calcul!AN$10:AN$22,MATCH(B350,calcul!K$10:K$22,0))</f>
        <v> </v>
      </c>
      <c r="Y350" s="366"/>
    </row>
    <row r="351" spans="2:25" s="14" customFormat="1" ht="33.75" customHeight="1">
      <c r="B351" s="357"/>
      <c r="C351" s="358"/>
      <c r="D351" s="502" t="str">
        <f>IF(X350=" "," ",INDEX(calcul!E$10:E$22,MATCH(B350,calcul!K$10:K$22,0)))</f>
        <v> </v>
      </c>
      <c r="E351" s="503"/>
      <c r="F351" s="503"/>
      <c r="G351" s="503"/>
      <c r="H351" s="503"/>
      <c r="I351" s="503"/>
      <c r="J351" s="503"/>
      <c r="K351" s="503"/>
      <c r="L351" s="503"/>
      <c r="M351" s="503"/>
      <c r="N351" s="61"/>
      <c r="O351" s="187"/>
      <c r="P351" s="61"/>
      <c r="Q351" s="62"/>
      <c r="R351" s="188"/>
      <c r="S351" s="356"/>
      <c r="T351" s="356"/>
      <c r="U351" s="188"/>
      <c r="V351" s="190"/>
      <c r="W351" s="188"/>
      <c r="X351" s="189"/>
      <c r="Y351" s="202"/>
    </row>
    <row r="352" spans="2:25" s="67" customFormat="1" ht="36" customHeight="1">
      <c r="B352" s="487">
        <v>10</v>
      </c>
      <c r="C352" s="488"/>
      <c r="D352" s="495" t="str">
        <f>IF(X352=" "," ",INDEX(calcul!C$10:C$22,MATCH(B352,calcul!K$10:K$22,0)))</f>
        <v> </v>
      </c>
      <c r="E352" s="481"/>
      <c r="F352" s="481"/>
      <c r="G352" s="481"/>
      <c r="H352" s="481"/>
      <c r="I352" s="481"/>
      <c r="J352" s="481"/>
      <c r="K352" s="481"/>
      <c r="L352" s="481"/>
      <c r="M352" s="481"/>
      <c r="N352" s="239"/>
      <c r="O352" s="360" t="str">
        <f>IF(X352="-","?"," ")</f>
        <v> </v>
      </c>
      <c r="P352" s="239"/>
      <c r="Q352" s="361" t="str">
        <f>INDEX(calcul!AK$10:AK$22,MATCH(B352,calcul!K$10:K$22,0))</f>
        <v> </v>
      </c>
      <c r="R352" s="362"/>
      <c r="S352" s="499" t="str">
        <f>INDEX(calcul!AL$10:AL$22,MATCH(B352,calcul!K$10:K$22,0))</f>
        <v> </v>
      </c>
      <c r="T352" s="499"/>
      <c r="U352" s="362"/>
      <c r="V352" s="304" t="str">
        <f>INDEX(calcul!AM$10:AM$22,MATCH(B352,calcul!K$10:K$22,0))</f>
        <v> </v>
      </c>
      <c r="W352" s="362"/>
      <c r="X352" s="363" t="str">
        <f>INDEX(calcul!AN$10:AN$22,MATCH(B352,calcul!K$10:K$22,0))</f>
        <v> </v>
      </c>
      <c r="Y352" s="366"/>
    </row>
    <row r="353" spans="2:25" s="14" customFormat="1" ht="33.75" customHeight="1">
      <c r="B353" s="357"/>
      <c r="C353" s="358"/>
      <c r="D353" s="502" t="str">
        <f>IF(X352=" "," ",INDEX(calcul!E$10:E$22,MATCH(B352,calcul!K$10:K$22,0)))</f>
        <v> </v>
      </c>
      <c r="E353" s="503"/>
      <c r="F353" s="503"/>
      <c r="G353" s="503"/>
      <c r="H353" s="503"/>
      <c r="I353" s="503"/>
      <c r="J353" s="503"/>
      <c r="K353" s="503"/>
      <c r="L353" s="503"/>
      <c r="M353" s="503"/>
      <c r="N353" s="61"/>
      <c r="O353" s="187"/>
      <c r="P353" s="61"/>
      <c r="Q353" s="62"/>
      <c r="R353" s="188"/>
      <c r="S353" s="356"/>
      <c r="T353" s="356"/>
      <c r="U353" s="188"/>
      <c r="V353" s="190"/>
      <c r="W353" s="188"/>
      <c r="X353" s="189"/>
      <c r="Y353" s="202"/>
    </row>
    <row r="354" spans="2:25" s="67" customFormat="1" ht="36" customHeight="1">
      <c r="B354" s="487">
        <v>11</v>
      </c>
      <c r="C354" s="488"/>
      <c r="D354" s="495" t="str">
        <f>IF(X354=" "," ",INDEX(calcul!C$10:C$22,MATCH(B354,calcul!K$10:K$22,0)))</f>
        <v> </v>
      </c>
      <c r="E354" s="481"/>
      <c r="F354" s="481"/>
      <c r="G354" s="481"/>
      <c r="H354" s="481"/>
      <c r="I354" s="481"/>
      <c r="J354" s="481"/>
      <c r="K354" s="481"/>
      <c r="L354" s="481"/>
      <c r="M354" s="481"/>
      <c r="N354" s="239"/>
      <c r="O354" s="360" t="str">
        <f>IF(X354="-","?"," ")</f>
        <v> </v>
      </c>
      <c r="P354" s="239"/>
      <c r="Q354" s="361" t="str">
        <f>INDEX(calcul!AK$10:AK$22,MATCH(B354,calcul!K$10:K$22,0))</f>
        <v> </v>
      </c>
      <c r="R354" s="362"/>
      <c r="S354" s="499" t="str">
        <f>INDEX(calcul!AL$10:AL$22,MATCH(B354,calcul!K$10:K$22,0))</f>
        <v> </v>
      </c>
      <c r="T354" s="499"/>
      <c r="U354" s="362"/>
      <c r="V354" s="304" t="str">
        <f>INDEX(calcul!AM$10:AM$22,MATCH(B354,calcul!K$10:K$22,0))</f>
        <v> </v>
      </c>
      <c r="W354" s="362"/>
      <c r="X354" s="363" t="str">
        <f>INDEX(calcul!AN$10:AN$22,MATCH(B354,calcul!K$10:K$22,0))</f>
        <v> </v>
      </c>
      <c r="Y354" s="366"/>
    </row>
    <row r="355" spans="2:25" s="14" customFormat="1" ht="33.75" customHeight="1">
      <c r="B355" s="359"/>
      <c r="C355" s="358"/>
      <c r="D355" s="502" t="str">
        <f>IF(X354=" "," ",INDEX(calcul!E$10:E$22,MATCH(B354,calcul!K$10:K$22,0)))</f>
        <v> </v>
      </c>
      <c r="E355" s="503"/>
      <c r="F355" s="503"/>
      <c r="G355" s="503"/>
      <c r="H355" s="503"/>
      <c r="I355" s="503"/>
      <c r="J355" s="503"/>
      <c r="K355" s="503"/>
      <c r="L355" s="503"/>
      <c r="M355" s="503"/>
      <c r="N355" s="61"/>
      <c r="O355" s="187"/>
      <c r="P355" s="61"/>
      <c r="Q355" s="62"/>
      <c r="R355" s="188"/>
      <c r="S355" s="356"/>
      <c r="T355" s="356"/>
      <c r="U355" s="188"/>
      <c r="V355" s="190"/>
      <c r="W355" s="188"/>
      <c r="X355" s="189"/>
      <c r="Y355" s="202"/>
    </row>
    <row r="356" spans="2:25" s="67" customFormat="1" ht="36" customHeight="1">
      <c r="B356" s="487">
        <v>12</v>
      </c>
      <c r="C356" s="488"/>
      <c r="D356" s="495" t="str">
        <f>IF(X356=" "," ",INDEX(calcul!C$10:C$22,MATCH(B356,calcul!K$10:K$22,0)))</f>
        <v> </v>
      </c>
      <c r="E356" s="481"/>
      <c r="F356" s="481"/>
      <c r="G356" s="481"/>
      <c r="H356" s="481"/>
      <c r="I356" s="481"/>
      <c r="J356" s="481"/>
      <c r="K356" s="481"/>
      <c r="L356" s="481"/>
      <c r="M356" s="481"/>
      <c r="N356" s="239"/>
      <c r="O356" s="360" t="str">
        <f>IF(X356="-","?"," ")</f>
        <v> </v>
      </c>
      <c r="P356" s="239"/>
      <c r="Q356" s="361" t="str">
        <f>INDEX(calcul!AK$10:AK$22,MATCH(B356,calcul!K$10:K$22,0))</f>
        <v> </v>
      </c>
      <c r="R356" s="362"/>
      <c r="S356" s="499" t="str">
        <f>INDEX(calcul!AL$10:AL$22,MATCH(B356,calcul!K$10:K$22,0))</f>
        <v> </v>
      </c>
      <c r="T356" s="499"/>
      <c r="U356" s="362"/>
      <c r="V356" s="304" t="str">
        <f>INDEX(calcul!AM$10:AM$22,MATCH(B356,calcul!K$10:K$22,0))</f>
        <v> </v>
      </c>
      <c r="W356" s="362"/>
      <c r="X356" s="363" t="str">
        <f>INDEX(calcul!AN$10:AN$22,MATCH(B356,calcul!K$10:K$22,0))</f>
        <v> </v>
      </c>
      <c r="Y356" s="366"/>
    </row>
    <row r="357" spans="2:25" s="14" customFormat="1" ht="33.75" customHeight="1">
      <c r="B357" s="357"/>
      <c r="C357" s="358"/>
      <c r="D357" s="502" t="str">
        <f>IF(X356=" "," ",INDEX(calcul!E$10:E$22,MATCH(B356,calcul!K$10:K$22,0)))</f>
        <v> </v>
      </c>
      <c r="E357" s="503"/>
      <c r="F357" s="503"/>
      <c r="G357" s="503"/>
      <c r="H357" s="503"/>
      <c r="I357" s="503"/>
      <c r="J357" s="503"/>
      <c r="K357" s="503"/>
      <c r="L357" s="503"/>
      <c r="M357" s="503"/>
      <c r="N357" s="61"/>
      <c r="O357" s="187"/>
      <c r="P357" s="61"/>
      <c r="Q357" s="62"/>
      <c r="R357" s="188"/>
      <c r="S357" s="356"/>
      <c r="T357" s="356"/>
      <c r="U357" s="188"/>
      <c r="V357" s="190"/>
      <c r="W357" s="188"/>
      <c r="X357" s="189"/>
      <c r="Y357" s="202"/>
    </row>
    <row r="358" spans="2:25" s="67" customFormat="1" ht="36" customHeight="1">
      <c r="B358" s="487">
        <v>13</v>
      </c>
      <c r="C358" s="488"/>
      <c r="D358" s="495" t="str">
        <f>IF(X358=" "," ",INDEX(calcul!C$10:C$22,MATCH(B358,calcul!K$10:K$22,0)))</f>
        <v> </v>
      </c>
      <c r="E358" s="481"/>
      <c r="F358" s="481"/>
      <c r="G358" s="481"/>
      <c r="H358" s="481"/>
      <c r="I358" s="481"/>
      <c r="J358" s="481"/>
      <c r="K358" s="481"/>
      <c r="L358" s="481"/>
      <c r="M358" s="481"/>
      <c r="N358" s="239"/>
      <c r="O358" s="360" t="str">
        <f>IF(X358="-","?"," ")</f>
        <v> </v>
      </c>
      <c r="P358" s="239"/>
      <c r="Q358" s="361" t="str">
        <f>INDEX(calcul!AK$10:AK$22,MATCH(B358,calcul!K$10:K$22,0))</f>
        <v> </v>
      </c>
      <c r="R358" s="362"/>
      <c r="S358" s="499" t="str">
        <f>INDEX(calcul!AL$10:AL$22,MATCH(B358,calcul!K$10:K$22,0))</f>
        <v> </v>
      </c>
      <c r="T358" s="499"/>
      <c r="U358" s="362"/>
      <c r="V358" s="304" t="str">
        <f>INDEX(calcul!AM$10:AM$22,MATCH(B358,calcul!K$10:K$22,0))</f>
        <v> </v>
      </c>
      <c r="W358" s="362"/>
      <c r="X358" s="363" t="str">
        <f>INDEX(calcul!AN$10:AN$22,MATCH(B358,calcul!K$10:K$22,0))</f>
        <v> </v>
      </c>
      <c r="Y358" s="366"/>
    </row>
    <row r="359" spans="2:25" s="14" customFormat="1" ht="33.75" customHeight="1" thickBot="1">
      <c r="B359" s="359"/>
      <c r="C359" s="358"/>
      <c r="D359" s="502" t="str">
        <f>IF(X358=" "," ",INDEX(calcul!E$10:E$22,MATCH(B358,calcul!K$10:K$22,0)))</f>
        <v> </v>
      </c>
      <c r="E359" s="503"/>
      <c r="F359" s="503"/>
      <c r="G359" s="503"/>
      <c r="H359" s="503"/>
      <c r="I359" s="503"/>
      <c r="J359" s="503"/>
      <c r="K359" s="503"/>
      <c r="L359" s="503"/>
      <c r="M359" s="503"/>
      <c r="N359" s="61"/>
      <c r="O359" s="187"/>
      <c r="P359" s="61"/>
      <c r="Q359" s="62"/>
      <c r="R359" s="188"/>
      <c r="S359" s="356"/>
      <c r="T359" s="356"/>
      <c r="U359" s="188"/>
      <c r="V359" s="367"/>
      <c r="W359" s="188"/>
      <c r="X359" s="189"/>
      <c r="Y359" s="202"/>
    </row>
    <row r="360" spans="22:24" ht="25.5" customHeight="1" thickBot="1">
      <c r="V360" s="191"/>
      <c r="X360" s="38"/>
    </row>
    <row r="361" spans="2:28" s="14" customFormat="1" ht="19.5" customHeight="1" thickBot="1">
      <c r="B361" s="81" t="s">
        <v>130</v>
      </c>
      <c r="C361" s="32"/>
      <c r="D361" s="33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192"/>
      <c r="W361" s="34"/>
      <c r="X361" s="34"/>
      <c r="Y361" s="35"/>
      <c r="AB361" s="54"/>
    </row>
    <row r="362" spans="22:28" ht="9.75" customHeight="1">
      <c r="V362" s="191"/>
      <c r="AB362" s="54"/>
    </row>
    <row r="363" spans="2:24" s="4" customFormat="1" ht="24.75" customHeight="1">
      <c r="B363" s="483">
        <v>1</v>
      </c>
      <c r="C363" s="484"/>
      <c r="D363" s="495" t="str">
        <f>IF(X363=" "," ",INDEX(calcul!C$26:C$33,MATCH(B363,calcul!K$26:K$33,0)))</f>
        <v> </v>
      </c>
      <c r="E363" s="481"/>
      <c r="F363" s="481"/>
      <c r="G363" s="481"/>
      <c r="H363" s="481"/>
      <c r="I363" s="481"/>
      <c r="J363" s="481"/>
      <c r="K363" s="481"/>
      <c r="L363" s="481"/>
      <c r="M363" s="481"/>
      <c r="N363" s="239"/>
      <c r="O363" s="360" t="str">
        <f>IF(X363="-","?"," ")</f>
        <v> </v>
      </c>
      <c r="P363" s="239"/>
      <c r="Q363" s="361" t="str">
        <f>INDEX(calcul!AK$26:AK$33,MATCH(B363,calcul!K$26:K$33,0))</f>
        <v> </v>
      </c>
      <c r="R363" s="362"/>
      <c r="S363" s="499" t="str">
        <f>INDEX(calcul!AL$26:AL$33,MATCH(B363,calcul!K$26:K$33,0))</f>
        <v> </v>
      </c>
      <c r="T363" s="499"/>
      <c r="U363" s="362"/>
      <c r="V363" s="303" t="str">
        <f>INDEX(calcul!AM$26:AM$33,MATCH(B363,calcul!K$26:K$33,0))</f>
        <v> </v>
      </c>
      <c r="W363" s="362"/>
      <c r="X363" s="363" t="str">
        <f>INDEX(calcul!AN$26:AN$33,MATCH(B363,calcul!K$26:K$33,0))</f>
        <v> </v>
      </c>
    </row>
    <row r="364" spans="2:25" ht="34.5" customHeight="1">
      <c r="B364" s="357"/>
      <c r="C364" s="358"/>
      <c r="D364" s="502" t="str">
        <f>IF(X363=" "," ",INDEX(calcul!E$26:E$33,MATCH(B363,calcul!K$26:K$33,0)))</f>
        <v> </v>
      </c>
      <c r="E364" s="503"/>
      <c r="F364" s="503"/>
      <c r="G364" s="503"/>
      <c r="H364" s="503"/>
      <c r="I364" s="503"/>
      <c r="J364" s="503"/>
      <c r="K364" s="503"/>
      <c r="L364" s="503"/>
      <c r="M364" s="503"/>
      <c r="N364" s="61"/>
      <c r="O364" s="187"/>
      <c r="P364" s="61"/>
      <c r="Q364" s="62"/>
      <c r="R364" s="188"/>
      <c r="S364" s="356"/>
      <c r="T364" s="356"/>
      <c r="U364" s="188"/>
      <c r="V364" s="304"/>
      <c r="W364" s="188"/>
      <c r="X364" s="189"/>
      <c r="Y364" s="46"/>
    </row>
    <row r="365" spans="2:25" s="4" customFormat="1" ht="24.75" customHeight="1">
      <c r="B365" s="487">
        <v>2</v>
      </c>
      <c r="C365" s="488"/>
      <c r="D365" s="495" t="str">
        <f>IF(X365=" "," ",INDEX(calcul!C$26:C$33,MATCH(B365,calcul!K$26:K$33,0)))</f>
        <v> </v>
      </c>
      <c r="E365" s="481"/>
      <c r="F365" s="481"/>
      <c r="G365" s="481"/>
      <c r="H365" s="481"/>
      <c r="I365" s="481"/>
      <c r="J365" s="481"/>
      <c r="K365" s="481"/>
      <c r="L365" s="481"/>
      <c r="M365" s="481"/>
      <c r="N365" s="239"/>
      <c r="O365" s="360" t="str">
        <f>IF(X365="-","?"," ")</f>
        <v> </v>
      </c>
      <c r="P365" s="239"/>
      <c r="Q365" s="361" t="str">
        <f>INDEX(calcul!AK$26:AK$33,MATCH(B365,calcul!K$26:K$33,0))</f>
        <v> </v>
      </c>
      <c r="R365" s="362"/>
      <c r="S365" s="499" t="str">
        <f>INDEX(calcul!AL$26:AL$33,MATCH(B365,calcul!K$26:K$33,0))</f>
        <v> </v>
      </c>
      <c r="T365" s="499"/>
      <c r="U365" s="362"/>
      <c r="V365" s="365" t="str">
        <f>INDEX(calcul!AM$26:AM$33,MATCH(B365,calcul!K$26:K$33,0))</f>
        <v> </v>
      </c>
      <c r="W365" s="362"/>
      <c r="X365" s="363" t="str">
        <f>INDEX(calcul!AN$26:AN$33,MATCH(B365,calcul!K$26:K$33,0))</f>
        <v> </v>
      </c>
      <c r="Y365" s="375"/>
    </row>
    <row r="366" spans="2:25" ht="34.5" customHeight="1">
      <c r="B366" s="357"/>
      <c r="C366" s="358"/>
      <c r="D366" s="502" t="str">
        <f>IF(X365=" "," ",INDEX(calcul!E$26:E$33,MATCH(B365,calcul!K$26:K$33,0)))</f>
        <v> </v>
      </c>
      <c r="E366" s="503"/>
      <c r="F366" s="503"/>
      <c r="G366" s="503"/>
      <c r="H366" s="503"/>
      <c r="I366" s="503"/>
      <c r="J366" s="503"/>
      <c r="K366" s="503"/>
      <c r="L366" s="503"/>
      <c r="M366" s="503"/>
      <c r="N366" s="61"/>
      <c r="O366" s="187"/>
      <c r="P366" s="61"/>
      <c r="Q366" s="62"/>
      <c r="R366" s="188"/>
      <c r="S366" s="356"/>
      <c r="T366" s="356"/>
      <c r="U366" s="188"/>
      <c r="V366" s="190"/>
      <c r="W366" s="188"/>
      <c r="X366" s="189"/>
      <c r="Y366" s="46"/>
    </row>
    <row r="367" spans="2:25" s="4" customFormat="1" ht="24.75" customHeight="1">
      <c r="B367" s="487">
        <v>3</v>
      </c>
      <c r="C367" s="488"/>
      <c r="D367" s="495" t="str">
        <f>IF(X367=" "," ",INDEX(calcul!C$26:C$33,MATCH(B367,calcul!K$26:K$33,0)))</f>
        <v> </v>
      </c>
      <c r="E367" s="481"/>
      <c r="F367" s="481"/>
      <c r="G367" s="481"/>
      <c r="H367" s="481"/>
      <c r="I367" s="481"/>
      <c r="J367" s="481"/>
      <c r="K367" s="481"/>
      <c r="L367" s="481"/>
      <c r="M367" s="481"/>
      <c r="N367" s="239"/>
      <c r="O367" s="360" t="str">
        <f>IF(X367="-","?"," ")</f>
        <v> </v>
      </c>
      <c r="P367" s="239"/>
      <c r="Q367" s="361" t="str">
        <f>INDEX(calcul!AK$26:AK$33,MATCH(B367,calcul!K$26:K$33,0))</f>
        <v> </v>
      </c>
      <c r="R367" s="362"/>
      <c r="S367" s="499" t="str">
        <f>INDEX(calcul!AL$26:AL$33,MATCH(B367,calcul!K$26:K$33,0))</f>
        <v> </v>
      </c>
      <c r="T367" s="499"/>
      <c r="U367" s="362"/>
      <c r="V367" s="365" t="str">
        <f>INDEX(calcul!AM$26:AM$33,MATCH(B367,calcul!K$26:K$33,0))</f>
        <v> </v>
      </c>
      <c r="W367" s="362"/>
      <c r="X367" s="363" t="str">
        <f>INDEX(calcul!AN$26:AN$33,MATCH(B367,calcul!K$26:K$33,0))</f>
        <v> </v>
      </c>
      <c r="Y367" s="375"/>
    </row>
    <row r="368" spans="2:25" ht="34.5" customHeight="1">
      <c r="B368" s="357"/>
      <c r="C368" s="358"/>
      <c r="D368" s="502" t="str">
        <f>IF(X367=" "," ",INDEX(calcul!E$26:E$33,MATCH(B367,calcul!K$26:K$33,0)))</f>
        <v> </v>
      </c>
      <c r="E368" s="503"/>
      <c r="F368" s="503"/>
      <c r="G368" s="503"/>
      <c r="H368" s="503"/>
      <c r="I368" s="503"/>
      <c r="J368" s="503"/>
      <c r="K368" s="503"/>
      <c r="L368" s="503"/>
      <c r="M368" s="503"/>
      <c r="N368" s="61"/>
      <c r="O368" s="187"/>
      <c r="P368" s="61"/>
      <c r="Q368" s="62"/>
      <c r="R368" s="188"/>
      <c r="S368" s="356"/>
      <c r="T368" s="356"/>
      <c r="U368" s="188"/>
      <c r="V368" s="190"/>
      <c r="W368" s="188"/>
      <c r="X368" s="189"/>
      <c r="Y368" s="46"/>
    </row>
    <row r="369" spans="2:25" s="4" customFormat="1" ht="24.75" customHeight="1">
      <c r="B369" s="487">
        <v>4</v>
      </c>
      <c r="C369" s="488"/>
      <c r="D369" s="495" t="str">
        <f>IF(X369=" "," ",INDEX(calcul!C$26:C$33,MATCH(B369,calcul!K$26:K$33,0)))</f>
        <v> </v>
      </c>
      <c r="E369" s="481"/>
      <c r="F369" s="481"/>
      <c r="G369" s="481"/>
      <c r="H369" s="481"/>
      <c r="I369" s="481"/>
      <c r="J369" s="481"/>
      <c r="K369" s="481"/>
      <c r="L369" s="481"/>
      <c r="M369" s="481"/>
      <c r="N369" s="239"/>
      <c r="O369" s="360" t="str">
        <f>IF(X369="-","?"," ")</f>
        <v> </v>
      </c>
      <c r="P369" s="239"/>
      <c r="Q369" s="361" t="str">
        <f>INDEX(calcul!AK$26:AK$33,MATCH(B369,calcul!K$26:K$33,0))</f>
        <v> </v>
      </c>
      <c r="R369" s="362"/>
      <c r="S369" s="499" t="str">
        <f>INDEX(calcul!AL$26:AL$33,MATCH(B369,calcul!K$26:K$33,0))</f>
        <v> </v>
      </c>
      <c r="T369" s="499"/>
      <c r="U369" s="362"/>
      <c r="V369" s="365" t="str">
        <f>INDEX(calcul!AM$26:AM$33,MATCH(B369,calcul!K$26:K$33,0))</f>
        <v> </v>
      </c>
      <c r="W369" s="362"/>
      <c r="X369" s="363" t="str">
        <f>INDEX(calcul!AN$26:AN$33,MATCH(B369,calcul!K$26:K$33,0))</f>
        <v> </v>
      </c>
      <c r="Y369" s="375"/>
    </row>
    <row r="370" spans="2:25" ht="34.5" customHeight="1">
      <c r="B370" s="357"/>
      <c r="C370" s="358"/>
      <c r="D370" s="502" t="str">
        <f>IF(X369=" "," ",INDEX(calcul!E$26:E$33,MATCH(B369,calcul!K$26:K$33,0)))</f>
        <v> </v>
      </c>
      <c r="E370" s="503"/>
      <c r="F370" s="503"/>
      <c r="G370" s="503"/>
      <c r="H370" s="503"/>
      <c r="I370" s="503"/>
      <c r="J370" s="503"/>
      <c r="K370" s="503"/>
      <c r="L370" s="503"/>
      <c r="M370" s="503"/>
      <c r="N370" s="61"/>
      <c r="O370" s="187"/>
      <c r="P370" s="61"/>
      <c r="Q370" s="62"/>
      <c r="R370" s="188"/>
      <c r="S370" s="356"/>
      <c r="T370" s="356"/>
      <c r="U370" s="188"/>
      <c r="V370" s="190"/>
      <c r="W370" s="188"/>
      <c r="X370" s="189"/>
      <c r="Y370" s="46"/>
    </row>
    <row r="371" spans="2:25" s="4" customFormat="1" ht="24.75" customHeight="1">
      <c r="B371" s="487">
        <v>5</v>
      </c>
      <c r="C371" s="488"/>
      <c r="D371" s="495" t="str">
        <f>IF(X371=" "," ",INDEX(calcul!C$26:C$33,MATCH(B371,calcul!K$26:K$33,0)))</f>
        <v> </v>
      </c>
      <c r="E371" s="481"/>
      <c r="F371" s="481"/>
      <c r="G371" s="481"/>
      <c r="H371" s="481"/>
      <c r="I371" s="481"/>
      <c r="J371" s="481"/>
      <c r="K371" s="481"/>
      <c r="L371" s="481"/>
      <c r="M371" s="481"/>
      <c r="N371" s="239"/>
      <c r="O371" s="360" t="str">
        <f>IF(X371="-","?"," ")</f>
        <v> </v>
      </c>
      <c r="P371" s="239"/>
      <c r="Q371" s="361" t="str">
        <f>INDEX(calcul!AK$26:AK$33,MATCH(B371,calcul!K$26:K$33,0))</f>
        <v> </v>
      </c>
      <c r="R371" s="362"/>
      <c r="S371" s="499" t="str">
        <f>INDEX(calcul!AL$26:AL$33,MATCH(B371,calcul!K$26:K$33,0))</f>
        <v> </v>
      </c>
      <c r="T371" s="499"/>
      <c r="U371" s="362"/>
      <c r="V371" s="365" t="str">
        <f>INDEX(calcul!AM$26:AM$33,MATCH(B371,calcul!K$26:K$33,0))</f>
        <v> </v>
      </c>
      <c r="W371" s="362"/>
      <c r="X371" s="363" t="str">
        <f>INDEX(calcul!AN$26:AN$33,MATCH(B371,calcul!K$26:K$33,0))</f>
        <v> </v>
      </c>
      <c r="Y371" s="375"/>
    </row>
    <row r="372" spans="2:25" ht="34.5" customHeight="1">
      <c r="B372" s="357"/>
      <c r="C372" s="358"/>
      <c r="D372" s="502" t="str">
        <f>IF(X371=" "," ",INDEX(calcul!E$26:E$33,MATCH(B371,calcul!K$26:K$33,0)))</f>
        <v> </v>
      </c>
      <c r="E372" s="503"/>
      <c r="F372" s="503"/>
      <c r="G372" s="503"/>
      <c r="H372" s="503"/>
      <c r="I372" s="503"/>
      <c r="J372" s="503"/>
      <c r="K372" s="503"/>
      <c r="L372" s="503"/>
      <c r="M372" s="503"/>
      <c r="N372" s="61"/>
      <c r="O372" s="187"/>
      <c r="P372" s="61"/>
      <c r="Q372" s="62"/>
      <c r="R372" s="188"/>
      <c r="S372" s="356"/>
      <c r="T372" s="356"/>
      <c r="U372" s="188"/>
      <c r="V372" s="190"/>
      <c r="W372" s="188"/>
      <c r="X372" s="189"/>
      <c r="Y372" s="46"/>
    </row>
    <row r="373" spans="2:25" s="4" customFormat="1" ht="24.75" customHeight="1">
      <c r="B373" s="487">
        <v>6</v>
      </c>
      <c r="C373" s="488"/>
      <c r="D373" s="495" t="str">
        <f>IF(X373=" "," ",INDEX(calcul!C$26:C$33,MATCH(B373,calcul!K$26:K$33,0)))</f>
        <v> </v>
      </c>
      <c r="E373" s="481"/>
      <c r="F373" s="481"/>
      <c r="G373" s="481"/>
      <c r="H373" s="481"/>
      <c r="I373" s="481"/>
      <c r="J373" s="481"/>
      <c r="K373" s="481"/>
      <c r="L373" s="481"/>
      <c r="M373" s="481"/>
      <c r="N373" s="239"/>
      <c r="O373" s="360" t="str">
        <f>IF(X373="-","?"," ")</f>
        <v> </v>
      </c>
      <c r="P373" s="239"/>
      <c r="Q373" s="361" t="str">
        <f>INDEX(calcul!AK$26:AK$33,MATCH(B373,calcul!K$26:K$33,0))</f>
        <v> </v>
      </c>
      <c r="R373" s="362"/>
      <c r="S373" s="499" t="str">
        <f>INDEX(calcul!AL$26:AL$33,MATCH(B373,calcul!K$26:K$33,0))</f>
        <v> </v>
      </c>
      <c r="T373" s="499"/>
      <c r="U373" s="362"/>
      <c r="V373" s="365" t="str">
        <f>INDEX(calcul!AM$26:AM$33,MATCH(B373,calcul!K$26:K$33,0))</f>
        <v> </v>
      </c>
      <c r="W373" s="362"/>
      <c r="X373" s="363" t="str">
        <f>INDEX(calcul!AN$26:AN$33,MATCH(B373,calcul!K$26:K$33,0))</f>
        <v> </v>
      </c>
      <c r="Y373" s="375"/>
    </row>
    <row r="374" spans="2:25" ht="34.5" customHeight="1">
      <c r="B374" s="357"/>
      <c r="C374" s="358"/>
      <c r="D374" s="502" t="str">
        <f>IF(X373=" "," ",INDEX(calcul!E$26:E$33,MATCH(B373,calcul!K$26:K$33,0)))</f>
        <v> </v>
      </c>
      <c r="E374" s="503"/>
      <c r="F374" s="503"/>
      <c r="G374" s="503"/>
      <c r="H374" s="503"/>
      <c r="I374" s="503"/>
      <c r="J374" s="503"/>
      <c r="K374" s="503"/>
      <c r="L374" s="503"/>
      <c r="M374" s="503"/>
      <c r="N374" s="61"/>
      <c r="O374" s="187"/>
      <c r="P374" s="61"/>
      <c r="Q374" s="62"/>
      <c r="R374" s="188"/>
      <c r="S374" s="356"/>
      <c r="T374" s="356"/>
      <c r="U374" s="188"/>
      <c r="V374" s="190"/>
      <c r="W374" s="188"/>
      <c r="X374" s="189"/>
      <c r="Y374" s="46"/>
    </row>
    <row r="375" spans="2:25" s="4" customFormat="1" ht="24.75" customHeight="1">
      <c r="B375" s="487">
        <v>7</v>
      </c>
      <c r="C375" s="488"/>
      <c r="D375" s="495" t="str">
        <f>IF(X375=" "," ",INDEX(calcul!C$26:C$33,MATCH(B375,calcul!K$26:K$33,0)))</f>
        <v> </v>
      </c>
      <c r="E375" s="481"/>
      <c r="F375" s="481"/>
      <c r="G375" s="481"/>
      <c r="H375" s="481"/>
      <c r="I375" s="481"/>
      <c r="J375" s="481"/>
      <c r="K375" s="481"/>
      <c r="L375" s="481"/>
      <c r="M375" s="481"/>
      <c r="N375" s="239"/>
      <c r="O375" s="360" t="str">
        <f>IF(X375="-","?"," ")</f>
        <v> </v>
      </c>
      <c r="P375" s="239"/>
      <c r="Q375" s="361" t="str">
        <f>INDEX(calcul!AK$26:AK$33,MATCH(B375,calcul!K$26:K$33,0))</f>
        <v> </v>
      </c>
      <c r="R375" s="362"/>
      <c r="S375" s="499" t="str">
        <f>INDEX(calcul!AL$26:AL$33,MATCH(B375,calcul!K$26:K$33,0))</f>
        <v> </v>
      </c>
      <c r="T375" s="499"/>
      <c r="U375" s="362"/>
      <c r="V375" s="365" t="str">
        <f>INDEX(calcul!AM$26:AM$33,MATCH(B375,calcul!K$26:K$33,0))</f>
        <v> </v>
      </c>
      <c r="W375" s="362"/>
      <c r="X375" s="363" t="str">
        <f>INDEX(calcul!AN$26:AN$33,MATCH(B375,calcul!K$26:K$33,0))</f>
        <v> </v>
      </c>
      <c r="Y375" s="375"/>
    </row>
    <row r="376" spans="2:25" ht="34.5" customHeight="1">
      <c r="B376" s="357"/>
      <c r="C376" s="358"/>
      <c r="D376" s="502" t="str">
        <f>IF(X375=" "," ",INDEX(calcul!E$26:E$33,MATCH(B375,calcul!K$26:K$33,0)))</f>
        <v> </v>
      </c>
      <c r="E376" s="503"/>
      <c r="F376" s="503"/>
      <c r="G376" s="503"/>
      <c r="H376" s="503"/>
      <c r="I376" s="503"/>
      <c r="J376" s="503"/>
      <c r="K376" s="503"/>
      <c r="L376" s="503"/>
      <c r="M376" s="503"/>
      <c r="N376" s="61"/>
      <c r="O376" s="187"/>
      <c r="P376" s="61"/>
      <c r="Q376" s="62"/>
      <c r="R376" s="188"/>
      <c r="S376" s="356"/>
      <c r="T376" s="356"/>
      <c r="U376" s="188"/>
      <c r="V376" s="190"/>
      <c r="W376" s="188"/>
      <c r="X376" s="189"/>
      <c r="Y376" s="46"/>
    </row>
    <row r="377" spans="2:25" s="4" customFormat="1" ht="24.75" customHeight="1">
      <c r="B377" s="487">
        <v>8</v>
      </c>
      <c r="C377" s="488"/>
      <c r="D377" s="495" t="str">
        <f>IF(X377=" "," ",INDEX(calcul!C$26:C$33,MATCH(B377,calcul!K$26:K$33,0)))</f>
        <v> </v>
      </c>
      <c r="E377" s="481"/>
      <c r="F377" s="481"/>
      <c r="G377" s="481"/>
      <c r="H377" s="481"/>
      <c r="I377" s="481"/>
      <c r="J377" s="481"/>
      <c r="K377" s="481"/>
      <c r="L377" s="481"/>
      <c r="M377" s="481"/>
      <c r="N377" s="239"/>
      <c r="O377" s="360" t="str">
        <f>IF(X377="-","?"," ")</f>
        <v> </v>
      </c>
      <c r="P377" s="239"/>
      <c r="Q377" s="361" t="str">
        <f>INDEX(calcul!AK$26:AK$33,MATCH(B377,calcul!K$26:K$33,0))</f>
        <v> </v>
      </c>
      <c r="R377" s="362"/>
      <c r="S377" s="499" t="str">
        <f>INDEX(calcul!AL$26:AL$33,MATCH(B377,calcul!K$26:K$33,0))</f>
        <v> </v>
      </c>
      <c r="T377" s="499"/>
      <c r="U377" s="362"/>
      <c r="V377" s="365" t="str">
        <f>INDEX(calcul!AM$26:AM$33,MATCH(B377,calcul!K$26:K$33,0))</f>
        <v> </v>
      </c>
      <c r="W377" s="362"/>
      <c r="X377" s="363" t="str">
        <f>INDEX(calcul!AN$26:AN$33,MATCH(B377,calcul!K$26:K$33,0))</f>
        <v> </v>
      </c>
      <c r="Y377" s="375"/>
    </row>
    <row r="378" spans="2:25" ht="34.5" customHeight="1" thickBot="1">
      <c r="B378" s="357"/>
      <c r="C378" s="358"/>
      <c r="D378" s="502" t="str">
        <f>IF(X377=" "," ",INDEX(calcul!E$26:E$33,MATCH(B377,calcul!K$26:K$33,0)))</f>
        <v> </v>
      </c>
      <c r="E378" s="503"/>
      <c r="F378" s="503"/>
      <c r="G378" s="503"/>
      <c r="H378" s="503"/>
      <c r="I378" s="503"/>
      <c r="J378" s="503"/>
      <c r="K378" s="503"/>
      <c r="L378" s="503"/>
      <c r="M378" s="503"/>
      <c r="N378" s="61"/>
      <c r="O378" s="187"/>
      <c r="P378" s="61"/>
      <c r="Q378" s="62"/>
      <c r="R378" s="188"/>
      <c r="S378" s="356"/>
      <c r="T378" s="356"/>
      <c r="U378" s="188"/>
      <c r="V378" s="367"/>
      <c r="W378" s="188"/>
      <c r="X378" s="189"/>
      <c r="Y378" s="46"/>
    </row>
    <row r="379" spans="3:24" ht="21" customHeight="1" thickBot="1">
      <c r="C379" s="53"/>
      <c r="D379" s="53"/>
      <c r="E379" s="53"/>
      <c r="F379" s="53"/>
      <c r="G379" s="53"/>
      <c r="H379" s="53"/>
      <c r="I379" s="53"/>
      <c r="M379" s="53"/>
      <c r="N379" s="53"/>
      <c r="O379" s="53"/>
      <c r="P379" s="53"/>
      <c r="Q379" s="53"/>
      <c r="R379" s="53"/>
      <c r="S379" s="53"/>
      <c r="T379" s="53"/>
      <c r="U379" s="53"/>
      <c r="V379" s="193"/>
      <c r="W379" s="53"/>
      <c r="X379" s="63"/>
    </row>
    <row r="380" spans="2:25" s="14" customFormat="1" ht="19.5" customHeight="1" thickBot="1">
      <c r="B380" s="81" t="s">
        <v>9</v>
      </c>
      <c r="C380" s="59"/>
      <c r="D380" s="60"/>
      <c r="E380" s="60"/>
      <c r="F380" s="60"/>
      <c r="G380" s="60"/>
      <c r="H380" s="60"/>
      <c r="I380" s="60"/>
      <c r="J380" s="34"/>
      <c r="K380" s="34"/>
      <c r="L380" s="34"/>
      <c r="M380" s="60"/>
      <c r="N380" s="60"/>
      <c r="O380" s="60"/>
      <c r="P380" s="60"/>
      <c r="Q380" s="60"/>
      <c r="R380" s="60"/>
      <c r="S380" s="60"/>
      <c r="T380" s="60"/>
      <c r="U380" s="60"/>
      <c r="V380" s="194"/>
      <c r="W380" s="60"/>
      <c r="X380" s="60"/>
      <c r="Y380" s="35"/>
    </row>
    <row r="381" spans="3:24" ht="9.75" customHeight="1">
      <c r="C381" s="53"/>
      <c r="D381" s="53"/>
      <c r="E381" s="53"/>
      <c r="F381" s="53"/>
      <c r="G381" s="53"/>
      <c r="H381" s="53"/>
      <c r="I381" s="53"/>
      <c r="M381" s="53"/>
      <c r="N381" s="53"/>
      <c r="O381" s="53"/>
      <c r="P381" s="53"/>
      <c r="Q381" s="53"/>
      <c r="R381" s="53"/>
      <c r="S381" s="53"/>
      <c r="T381" s="53"/>
      <c r="U381" s="53"/>
      <c r="V381" s="193"/>
      <c r="W381" s="53"/>
      <c r="X381" s="53"/>
    </row>
    <row r="382" spans="2:24" s="4" customFormat="1" ht="34.5" customHeight="1">
      <c r="B382" s="483">
        <v>1</v>
      </c>
      <c r="C382" s="484"/>
      <c r="D382" s="495" t="str">
        <f>IF(X382=" "," ",INDEX(calcul!C$36:C52,MATCH(B382,calcul!K$36:K$52,0)))</f>
        <v> </v>
      </c>
      <c r="E382" s="481"/>
      <c r="F382" s="481"/>
      <c r="G382" s="481"/>
      <c r="H382" s="481"/>
      <c r="I382" s="481"/>
      <c r="J382" s="481"/>
      <c r="K382" s="481"/>
      <c r="L382" s="481"/>
      <c r="M382" s="481"/>
      <c r="N382" s="239"/>
      <c r="O382" s="360" t="str">
        <f>IF(X382="-","?"," ")</f>
        <v> </v>
      </c>
      <c r="P382" s="239"/>
      <c r="Q382" s="361" t="str">
        <f>INDEX(calcul!AK$36:AK$52,MATCH(B382,calcul!K$36:K$52,0))</f>
        <v> </v>
      </c>
      <c r="R382" s="362"/>
      <c r="S382" s="499" t="str">
        <f>INDEX(calcul!AL$36:AL$52,MATCH(B382,calcul!K$36:K$52,0))</f>
        <v> </v>
      </c>
      <c r="T382" s="499"/>
      <c r="U382" s="362"/>
      <c r="V382" s="303" t="str">
        <f>INDEX(calcul!AM$36:AM$52,MATCH(B382,calcul!K$36:K$52,0))</f>
        <v> </v>
      </c>
      <c r="W382" s="362"/>
      <c r="X382" s="363" t="str">
        <f>INDEX(calcul!AN$36:AN$52,MATCH(B382,calcul!K$36:K$52,0))</f>
        <v> </v>
      </c>
    </row>
    <row r="383" spans="2:25" ht="22.5" customHeight="1">
      <c r="B383" s="357"/>
      <c r="C383" s="358"/>
      <c r="D383" s="485" t="str">
        <f>IF(X382=" "," ",INDEX(calcul!E$36:E$52,MATCH(B382,calcul!K$36:K$52,0)))</f>
        <v> </v>
      </c>
      <c r="E383" s="486"/>
      <c r="F383" s="486"/>
      <c r="G383" s="486"/>
      <c r="H383" s="486"/>
      <c r="I383" s="486"/>
      <c r="J383" s="486"/>
      <c r="K383" s="486"/>
      <c r="L383" s="486"/>
      <c r="M383" s="486"/>
      <c r="N383" s="61"/>
      <c r="O383" s="187"/>
      <c r="P383" s="61"/>
      <c r="Q383" s="62"/>
      <c r="R383" s="188"/>
      <c r="S383" s="356"/>
      <c r="T383" s="356"/>
      <c r="U383" s="188"/>
      <c r="V383" s="304"/>
      <c r="W383" s="188"/>
      <c r="X383" s="189"/>
      <c r="Y383" s="46"/>
    </row>
    <row r="384" spans="2:25" s="4" customFormat="1" ht="34.5" customHeight="1">
      <c r="B384" s="487">
        <v>2</v>
      </c>
      <c r="C384" s="488"/>
      <c r="D384" s="495" t="str">
        <f>IF(X384=" "," ",INDEX(calcul!C$36:C54,MATCH(B384,calcul!K$36:K$52,0)))</f>
        <v> </v>
      </c>
      <c r="E384" s="481"/>
      <c r="F384" s="481"/>
      <c r="G384" s="481"/>
      <c r="H384" s="481"/>
      <c r="I384" s="481"/>
      <c r="J384" s="481"/>
      <c r="K384" s="481"/>
      <c r="L384" s="481"/>
      <c r="M384" s="481"/>
      <c r="N384" s="239"/>
      <c r="O384" s="360" t="str">
        <f>IF(X384="-","?"," ")</f>
        <v> </v>
      </c>
      <c r="P384" s="239"/>
      <c r="Q384" s="361" t="str">
        <f>INDEX(calcul!AK$36:AK$52,MATCH(B384,calcul!K$36:K$52,0))</f>
        <v> </v>
      </c>
      <c r="R384" s="362"/>
      <c r="S384" s="499" t="str">
        <f>INDEX(calcul!AL$36:AL$52,MATCH(B384,calcul!K$36:K$52,0))</f>
        <v> </v>
      </c>
      <c r="T384" s="499"/>
      <c r="U384" s="362"/>
      <c r="V384" s="365" t="str">
        <f>INDEX(calcul!AM$36:AM$52,MATCH(B384,calcul!K$36:K$52,0))</f>
        <v> </v>
      </c>
      <c r="W384" s="362"/>
      <c r="X384" s="363" t="str">
        <f>INDEX(calcul!AN$36:AN$52,MATCH(B384,calcul!K$36:K$52,0))</f>
        <v> </v>
      </c>
      <c r="Y384" s="375"/>
    </row>
    <row r="385" spans="2:25" ht="22.5" customHeight="1">
      <c r="B385" s="357"/>
      <c r="C385" s="358"/>
      <c r="D385" s="485" t="str">
        <f>IF(X384=" "," ",INDEX(calcul!E$36:E$52,MATCH(B384,calcul!K$36:K$52,0)))</f>
        <v> </v>
      </c>
      <c r="E385" s="486"/>
      <c r="F385" s="486"/>
      <c r="G385" s="486"/>
      <c r="H385" s="486"/>
      <c r="I385" s="486"/>
      <c r="J385" s="486"/>
      <c r="K385" s="486"/>
      <c r="L385" s="486"/>
      <c r="M385" s="486"/>
      <c r="N385" s="61"/>
      <c r="O385" s="187"/>
      <c r="P385" s="61"/>
      <c r="Q385" s="62"/>
      <c r="R385" s="188"/>
      <c r="S385" s="356"/>
      <c r="T385" s="356"/>
      <c r="U385" s="188"/>
      <c r="V385" s="190"/>
      <c r="W385" s="188"/>
      <c r="X385" s="189"/>
      <c r="Y385" s="46"/>
    </row>
    <row r="386" spans="2:25" s="4" customFormat="1" ht="34.5" customHeight="1">
      <c r="B386" s="487">
        <v>3</v>
      </c>
      <c r="C386" s="488"/>
      <c r="D386" s="495" t="str">
        <f>IF(X386=" "," ",INDEX(calcul!C$36:C56,MATCH(B386,calcul!K$36:K$52,0)))</f>
        <v> </v>
      </c>
      <c r="E386" s="481"/>
      <c r="F386" s="481"/>
      <c r="G386" s="481"/>
      <c r="H386" s="481"/>
      <c r="I386" s="481"/>
      <c r="J386" s="481"/>
      <c r="K386" s="481"/>
      <c r="L386" s="481"/>
      <c r="M386" s="481"/>
      <c r="N386" s="239"/>
      <c r="O386" s="360" t="str">
        <f>IF(X386="-","?"," ")</f>
        <v> </v>
      </c>
      <c r="P386" s="239"/>
      <c r="Q386" s="361" t="str">
        <f>INDEX(calcul!AK$36:AK$52,MATCH(B386,calcul!K$36:K$52,0))</f>
        <v> </v>
      </c>
      <c r="R386" s="362"/>
      <c r="S386" s="499" t="str">
        <f>INDEX(calcul!AL$36:AL$52,MATCH(B386,calcul!K$36:K$52,0))</f>
        <v> </v>
      </c>
      <c r="T386" s="499"/>
      <c r="U386" s="362"/>
      <c r="V386" s="365" t="str">
        <f>INDEX(calcul!AM$36:AM$52,MATCH(B386,calcul!K$36:K$52,0))</f>
        <v> </v>
      </c>
      <c r="W386" s="362"/>
      <c r="X386" s="363" t="str">
        <f>INDEX(calcul!AN$36:AN$52,MATCH(B386,calcul!K$36:K$52,0))</f>
        <v> </v>
      </c>
      <c r="Y386" s="375"/>
    </row>
    <row r="387" spans="2:25" ht="22.5" customHeight="1">
      <c r="B387" s="357"/>
      <c r="C387" s="358"/>
      <c r="D387" s="485" t="str">
        <f>IF(X386=" "," ",INDEX(calcul!E$36:E$52,MATCH(B386,calcul!K$36:K$52,0)))</f>
        <v> </v>
      </c>
      <c r="E387" s="486"/>
      <c r="F387" s="486"/>
      <c r="G387" s="486"/>
      <c r="H387" s="486"/>
      <c r="I387" s="486"/>
      <c r="J387" s="486"/>
      <c r="K387" s="486"/>
      <c r="L387" s="486"/>
      <c r="M387" s="486"/>
      <c r="N387" s="61"/>
      <c r="O387" s="187"/>
      <c r="P387" s="61"/>
      <c r="Q387" s="62"/>
      <c r="R387" s="188"/>
      <c r="S387" s="356"/>
      <c r="T387" s="356"/>
      <c r="U387" s="188"/>
      <c r="V387" s="190"/>
      <c r="W387" s="188"/>
      <c r="X387" s="189"/>
      <c r="Y387" s="46"/>
    </row>
    <row r="388" spans="2:25" s="4" customFormat="1" ht="34.5" customHeight="1">
      <c r="B388" s="487">
        <v>4</v>
      </c>
      <c r="C388" s="488"/>
      <c r="D388" s="495" t="str">
        <f>IF(X388=" "," ",INDEX(calcul!C$36:C58,MATCH(B388,calcul!K$36:K$52,0)))</f>
        <v> </v>
      </c>
      <c r="E388" s="481"/>
      <c r="F388" s="481"/>
      <c r="G388" s="481"/>
      <c r="H388" s="481"/>
      <c r="I388" s="481"/>
      <c r="J388" s="481"/>
      <c r="K388" s="481"/>
      <c r="L388" s="481"/>
      <c r="M388" s="481"/>
      <c r="N388" s="239"/>
      <c r="O388" s="360" t="str">
        <f>IF(X388="-","?"," ")</f>
        <v> </v>
      </c>
      <c r="P388" s="239"/>
      <c r="Q388" s="361" t="str">
        <f>INDEX(calcul!AK$36:AK$52,MATCH(B388,calcul!K$36:K$52,0))</f>
        <v> </v>
      </c>
      <c r="R388" s="362"/>
      <c r="S388" s="499" t="str">
        <f>INDEX(calcul!AL$36:AL$52,MATCH(B388,calcul!K$36:K$52,0))</f>
        <v> </v>
      </c>
      <c r="T388" s="499"/>
      <c r="U388" s="362"/>
      <c r="V388" s="365" t="str">
        <f>INDEX(calcul!AM$36:AM$52,MATCH(B388,calcul!K$36:K$52,0))</f>
        <v> </v>
      </c>
      <c r="W388" s="362"/>
      <c r="X388" s="363" t="str">
        <f>INDEX(calcul!AN$36:AN$52,MATCH(B388,calcul!K$36:K$52,0))</f>
        <v> </v>
      </c>
      <c r="Y388" s="375"/>
    </row>
    <row r="389" spans="2:25" ht="22.5" customHeight="1">
      <c r="B389" s="357"/>
      <c r="C389" s="358"/>
      <c r="D389" s="485" t="str">
        <f>IF(X388=" "," ",INDEX(calcul!E$36:E$52,MATCH(B388,calcul!K$36:K$52,0)))</f>
        <v> </v>
      </c>
      <c r="E389" s="486"/>
      <c r="F389" s="486"/>
      <c r="G389" s="486"/>
      <c r="H389" s="486"/>
      <c r="I389" s="486"/>
      <c r="J389" s="486"/>
      <c r="K389" s="486"/>
      <c r="L389" s="486"/>
      <c r="M389" s="486"/>
      <c r="N389" s="61"/>
      <c r="O389" s="187"/>
      <c r="P389" s="61"/>
      <c r="Q389" s="62"/>
      <c r="R389" s="188"/>
      <c r="S389" s="356"/>
      <c r="T389" s="356"/>
      <c r="U389" s="188"/>
      <c r="V389" s="190"/>
      <c r="W389" s="188"/>
      <c r="X389" s="189"/>
      <c r="Y389" s="46"/>
    </row>
    <row r="390" spans="2:25" s="4" customFormat="1" ht="34.5" customHeight="1">
      <c r="B390" s="487">
        <v>5</v>
      </c>
      <c r="C390" s="488"/>
      <c r="D390" s="495" t="str">
        <f>IF(X390=" "," ",INDEX(calcul!C$36:C60,MATCH(B390,calcul!K$36:K$52,0)))</f>
        <v> </v>
      </c>
      <c r="E390" s="481"/>
      <c r="F390" s="481"/>
      <c r="G390" s="481"/>
      <c r="H390" s="481"/>
      <c r="I390" s="481"/>
      <c r="J390" s="481"/>
      <c r="K390" s="481"/>
      <c r="L390" s="481"/>
      <c r="M390" s="481"/>
      <c r="N390" s="239"/>
      <c r="O390" s="360" t="str">
        <f>IF(X390="-","?"," ")</f>
        <v> </v>
      </c>
      <c r="P390" s="239"/>
      <c r="Q390" s="361" t="str">
        <f>INDEX(calcul!AK$36:AK$52,MATCH(B390,calcul!K$36:K$52,0))</f>
        <v> </v>
      </c>
      <c r="R390" s="362"/>
      <c r="S390" s="499" t="str">
        <f>INDEX(calcul!AL$36:AL$52,MATCH(B390,calcul!K$36:K$52,0))</f>
        <v> </v>
      </c>
      <c r="T390" s="499"/>
      <c r="U390" s="362"/>
      <c r="V390" s="365" t="str">
        <f>INDEX(calcul!AM$36:AM$52,MATCH(B390,calcul!K$36:K$52,0))</f>
        <v> </v>
      </c>
      <c r="W390" s="362"/>
      <c r="X390" s="363" t="str">
        <f>INDEX(calcul!AN$36:AN$52,MATCH(B390,calcul!K$36:K$52,0))</f>
        <v> </v>
      </c>
      <c r="Y390" s="375"/>
    </row>
    <row r="391" spans="2:25" ht="22.5" customHeight="1">
      <c r="B391" s="357"/>
      <c r="C391" s="358"/>
      <c r="D391" s="485" t="str">
        <f>IF(X390=" "," ",INDEX(calcul!E$36:E$52,MATCH(B390,calcul!K$36:K$52,0)))</f>
        <v> </v>
      </c>
      <c r="E391" s="486"/>
      <c r="F391" s="486"/>
      <c r="G391" s="486"/>
      <c r="H391" s="486"/>
      <c r="I391" s="486"/>
      <c r="J391" s="486"/>
      <c r="K391" s="486"/>
      <c r="L391" s="486"/>
      <c r="M391" s="486"/>
      <c r="N391" s="61"/>
      <c r="O391" s="187"/>
      <c r="P391" s="61"/>
      <c r="Q391" s="62"/>
      <c r="R391" s="188"/>
      <c r="S391" s="356"/>
      <c r="T391" s="356"/>
      <c r="U391" s="188"/>
      <c r="V391" s="190"/>
      <c r="W391" s="188"/>
      <c r="X391" s="189"/>
      <c r="Y391" s="46"/>
    </row>
    <row r="392" spans="2:25" s="4" customFormat="1" ht="34.5" customHeight="1">
      <c r="B392" s="487">
        <v>6</v>
      </c>
      <c r="C392" s="488"/>
      <c r="D392" s="495" t="str">
        <f>IF(X392=" "," ",INDEX(calcul!C$36:C62,MATCH(B392,calcul!K$36:K$52,0)))</f>
        <v> </v>
      </c>
      <c r="E392" s="481"/>
      <c r="F392" s="481"/>
      <c r="G392" s="481"/>
      <c r="H392" s="481"/>
      <c r="I392" s="481"/>
      <c r="J392" s="481"/>
      <c r="K392" s="481"/>
      <c r="L392" s="481"/>
      <c r="M392" s="481"/>
      <c r="N392" s="239"/>
      <c r="O392" s="360" t="str">
        <f>IF(X392="-","?"," ")</f>
        <v> </v>
      </c>
      <c r="P392" s="239"/>
      <c r="Q392" s="361" t="str">
        <f>INDEX(calcul!AK$36:AK$52,MATCH(B392,calcul!K$36:K$52,0))</f>
        <v> </v>
      </c>
      <c r="R392" s="362"/>
      <c r="S392" s="499" t="str">
        <f>INDEX(calcul!AL$36:AL$52,MATCH(B392,calcul!K$36:K$52,0))</f>
        <v> </v>
      </c>
      <c r="T392" s="499"/>
      <c r="U392" s="362"/>
      <c r="V392" s="365" t="str">
        <f>INDEX(calcul!AM$36:AM$52,MATCH(B392,calcul!K$36:K$52,0))</f>
        <v> </v>
      </c>
      <c r="W392" s="362"/>
      <c r="X392" s="363" t="str">
        <f>INDEX(calcul!AN$36:AN$52,MATCH(B392,calcul!K$36:K$52,0))</f>
        <v> </v>
      </c>
      <c r="Y392" s="375"/>
    </row>
    <row r="393" spans="2:25" ht="22.5" customHeight="1">
      <c r="B393" s="357"/>
      <c r="C393" s="358"/>
      <c r="D393" s="485" t="str">
        <f>IF(X392=" "," ",INDEX(calcul!E$36:E$52,MATCH(B392,calcul!K$36:K$52,0)))</f>
        <v> </v>
      </c>
      <c r="E393" s="486"/>
      <c r="F393" s="486"/>
      <c r="G393" s="486"/>
      <c r="H393" s="486"/>
      <c r="I393" s="486"/>
      <c r="J393" s="486"/>
      <c r="K393" s="486"/>
      <c r="L393" s="486"/>
      <c r="M393" s="486"/>
      <c r="N393" s="61"/>
      <c r="O393" s="187"/>
      <c r="P393" s="61"/>
      <c r="Q393" s="62"/>
      <c r="R393" s="188"/>
      <c r="S393" s="356"/>
      <c r="T393" s="356"/>
      <c r="U393" s="188"/>
      <c r="V393" s="190"/>
      <c r="W393" s="188"/>
      <c r="X393" s="189"/>
      <c r="Y393" s="46"/>
    </row>
    <row r="394" spans="2:25" s="4" customFormat="1" ht="34.5" customHeight="1">
      <c r="B394" s="487">
        <v>7</v>
      </c>
      <c r="C394" s="488"/>
      <c r="D394" s="495" t="str">
        <f>IF(X394=" "," ",INDEX(calcul!C$36:C64,MATCH(B394,calcul!K$36:K$52,0)))</f>
        <v> </v>
      </c>
      <c r="E394" s="481"/>
      <c r="F394" s="481"/>
      <c r="G394" s="481"/>
      <c r="H394" s="481"/>
      <c r="I394" s="481"/>
      <c r="J394" s="481"/>
      <c r="K394" s="481"/>
      <c r="L394" s="481"/>
      <c r="M394" s="481"/>
      <c r="N394" s="239"/>
      <c r="O394" s="360" t="str">
        <f>IF(X394="-","?"," ")</f>
        <v> </v>
      </c>
      <c r="P394" s="239"/>
      <c r="Q394" s="361" t="str">
        <f>INDEX(calcul!AK$36:AK$52,MATCH(B394,calcul!K$36:K$52,0))</f>
        <v> </v>
      </c>
      <c r="R394" s="362"/>
      <c r="S394" s="499" t="str">
        <f>INDEX(calcul!AL$36:AL$52,MATCH(B394,calcul!K$36:K$52,0))</f>
        <v> </v>
      </c>
      <c r="T394" s="499"/>
      <c r="U394" s="362"/>
      <c r="V394" s="365" t="str">
        <f>INDEX(calcul!AM$36:AM$52,MATCH(B394,calcul!K$36:K$52,0))</f>
        <v> </v>
      </c>
      <c r="W394" s="362"/>
      <c r="X394" s="363" t="str">
        <f>INDEX(calcul!AN$36:AN$52,MATCH(B394,calcul!K$36:K$52,0))</f>
        <v> </v>
      </c>
      <c r="Y394" s="375"/>
    </row>
    <row r="395" spans="2:25" ht="22.5" customHeight="1">
      <c r="B395" s="357"/>
      <c r="C395" s="358"/>
      <c r="D395" s="485" t="str">
        <f>IF(X394=" "," ",INDEX(calcul!E$36:E$52,MATCH(B394,calcul!K$36:K$52,0)))</f>
        <v> </v>
      </c>
      <c r="E395" s="486"/>
      <c r="F395" s="486"/>
      <c r="G395" s="486"/>
      <c r="H395" s="486"/>
      <c r="I395" s="486"/>
      <c r="J395" s="486"/>
      <c r="K395" s="486"/>
      <c r="L395" s="486"/>
      <c r="M395" s="486"/>
      <c r="N395" s="61"/>
      <c r="O395" s="187"/>
      <c r="P395" s="61"/>
      <c r="Q395" s="62"/>
      <c r="R395" s="188"/>
      <c r="S395" s="356"/>
      <c r="T395" s="356"/>
      <c r="U395" s="188"/>
      <c r="V395" s="190"/>
      <c r="W395" s="188"/>
      <c r="X395" s="189"/>
      <c r="Y395" s="46"/>
    </row>
    <row r="396" spans="2:25" s="4" customFormat="1" ht="34.5" customHeight="1">
      <c r="B396" s="487">
        <v>8</v>
      </c>
      <c r="C396" s="488"/>
      <c r="D396" s="495" t="str">
        <f>IF(X396=" "," ",INDEX(calcul!C$36:C66,MATCH(B396,calcul!K$36:K$52,0)))</f>
        <v> </v>
      </c>
      <c r="E396" s="481"/>
      <c r="F396" s="481"/>
      <c r="G396" s="481"/>
      <c r="H396" s="481"/>
      <c r="I396" s="481"/>
      <c r="J396" s="481"/>
      <c r="K396" s="481"/>
      <c r="L396" s="481"/>
      <c r="M396" s="481"/>
      <c r="N396" s="239"/>
      <c r="O396" s="360" t="str">
        <f>IF(X396="-","?"," ")</f>
        <v> </v>
      </c>
      <c r="P396" s="239"/>
      <c r="Q396" s="361" t="str">
        <f>INDEX(calcul!AK$36:AK$52,MATCH(B396,calcul!K$36:K$52,0))</f>
        <v> </v>
      </c>
      <c r="R396" s="362"/>
      <c r="S396" s="499" t="str">
        <f>INDEX(calcul!AL$36:AL$52,MATCH(B396,calcul!K$36:K$52,0))</f>
        <v> </v>
      </c>
      <c r="T396" s="499"/>
      <c r="U396" s="362"/>
      <c r="V396" s="365" t="str">
        <f>INDEX(calcul!AM$36:AM$52,MATCH(B396,calcul!K$36:K$52,0))</f>
        <v> </v>
      </c>
      <c r="W396" s="362"/>
      <c r="X396" s="363" t="str">
        <f>INDEX(calcul!AN$36:AN$52,MATCH(B396,calcul!K$36:K$52,0))</f>
        <v> </v>
      </c>
      <c r="Y396" s="375"/>
    </row>
    <row r="397" spans="2:25" ht="22.5" customHeight="1">
      <c r="B397" s="357"/>
      <c r="C397" s="358"/>
      <c r="D397" s="485" t="str">
        <f>IF(X396=" "," ",INDEX(calcul!E$36:E$52,MATCH(B396,calcul!K$36:K$52,0)))</f>
        <v> </v>
      </c>
      <c r="E397" s="486"/>
      <c r="F397" s="486"/>
      <c r="G397" s="486"/>
      <c r="H397" s="486"/>
      <c r="I397" s="486"/>
      <c r="J397" s="486"/>
      <c r="K397" s="486"/>
      <c r="L397" s="486"/>
      <c r="M397" s="486"/>
      <c r="N397" s="61"/>
      <c r="O397" s="187"/>
      <c r="P397" s="61"/>
      <c r="Q397" s="62"/>
      <c r="R397" s="188"/>
      <c r="S397" s="356"/>
      <c r="T397" s="356"/>
      <c r="U397" s="188"/>
      <c r="V397" s="190"/>
      <c r="W397" s="188"/>
      <c r="X397" s="189"/>
      <c r="Y397" s="46"/>
    </row>
    <row r="398" spans="2:25" s="4" customFormat="1" ht="34.5" customHeight="1">
      <c r="B398" s="487">
        <v>9</v>
      </c>
      <c r="C398" s="488"/>
      <c r="D398" s="495" t="str">
        <f>IF(X398=" "," ",INDEX(calcul!C$36:C68,MATCH(B398,calcul!K$36:K$52,0)))</f>
        <v> </v>
      </c>
      <c r="E398" s="481"/>
      <c r="F398" s="481"/>
      <c r="G398" s="481"/>
      <c r="H398" s="481"/>
      <c r="I398" s="481"/>
      <c r="J398" s="481"/>
      <c r="K398" s="481"/>
      <c r="L398" s="481"/>
      <c r="M398" s="481"/>
      <c r="N398" s="239"/>
      <c r="O398" s="360" t="str">
        <f>IF(X398="-","?"," ")</f>
        <v> </v>
      </c>
      <c r="P398" s="239"/>
      <c r="Q398" s="361" t="str">
        <f>INDEX(calcul!AK$36:AK$52,MATCH(B398,calcul!K$36:K$52,0))</f>
        <v> </v>
      </c>
      <c r="R398" s="362"/>
      <c r="S398" s="499" t="str">
        <f>INDEX(calcul!AL$36:AL$52,MATCH(B398,calcul!K$36:K$52,0))</f>
        <v> </v>
      </c>
      <c r="T398" s="499"/>
      <c r="U398" s="362"/>
      <c r="V398" s="365" t="str">
        <f>INDEX(calcul!AM$36:AM$52,MATCH(B398,calcul!K$36:K$52,0))</f>
        <v> </v>
      </c>
      <c r="W398" s="362"/>
      <c r="X398" s="363" t="str">
        <f>INDEX(calcul!AN$36:AN$52,MATCH(B398,calcul!K$36:K$52,0))</f>
        <v> </v>
      </c>
      <c r="Y398" s="375"/>
    </row>
    <row r="399" spans="2:25" ht="22.5" customHeight="1">
      <c r="B399" s="357"/>
      <c r="C399" s="358"/>
      <c r="D399" s="485" t="str">
        <f>IF(X398=" "," ",INDEX(calcul!E$36:E$52,MATCH(B398,calcul!K$36:K$52,0)))</f>
        <v> </v>
      </c>
      <c r="E399" s="486"/>
      <c r="F399" s="486"/>
      <c r="G399" s="486"/>
      <c r="H399" s="486"/>
      <c r="I399" s="486"/>
      <c r="J399" s="486"/>
      <c r="K399" s="486"/>
      <c r="L399" s="486"/>
      <c r="M399" s="486"/>
      <c r="N399" s="61"/>
      <c r="O399" s="187"/>
      <c r="P399" s="61"/>
      <c r="Q399" s="62"/>
      <c r="R399" s="188"/>
      <c r="S399" s="356"/>
      <c r="T399" s="356"/>
      <c r="U399" s="188"/>
      <c r="V399" s="190"/>
      <c r="W399" s="188"/>
      <c r="X399" s="189"/>
      <c r="Y399" s="46"/>
    </row>
    <row r="400" spans="2:25" s="4" customFormat="1" ht="34.5" customHeight="1">
      <c r="B400" s="487">
        <v>10</v>
      </c>
      <c r="C400" s="488"/>
      <c r="D400" s="495" t="str">
        <f>IF(X400=" "," ",INDEX(calcul!C$36:C70,MATCH(B400,calcul!K$36:K$52,0)))</f>
        <v> </v>
      </c>
      <c r="E400" s="481"/>
      <c r="F400" s="481"/>
      <c r="G400" s="481"/>
      <c r="H400" s="481"/>
      <c r="I400" s="481"/>
      <c r="J400" s="481"/>
      <c r="K400" s="481"/>
      <c r="L400" s="481"/>
      <c r="M400" s="481"/>
      <c r="N400" s="239"/>
      <c r="O400" s="360" t="str">
        <f>IF(X400="-","?"," ")</f>
        <v> </v>
      </c>
      <c r="P400" s="239"/>
      <c r="Q400" s="361" t="str">
        <f>INDEX(calcul!AK$36:AK$52,MATCH(B400,calcul!K$36:K$52,0))</f>
        <v> </v>
      </c>
      <c r="R400" s="362"/>
      <c r="S400" s="499" t="str">
        <f>INDEX(calcul!AL$36:AL$52,MATCH(B400,calcul!K$36:K$52,0))</f>
        <v> </v>
      </c>
      <c r="T400" s="499"/>
      <c r="U400" s="362"/>
      <c r="V400" s="365" t="str">
        <f>INDEX(calcul!AM$36:AM$52,MATCH(B400,calcul!K$36:K$52,0))</f>
        <v> </v>
      </c>
      <c r="W400" s="362"/>
      <c r="X400" s="363" t="str">
        <f>INDEX(calcul!AN$36:AN$52,MATCH(B400,calcul!K$36:K$52,0))</f>
        <v> </v>
      </c>
      <c r="Y400" s="375"/>
    </row>
    <row r="401" spans="2:25" ht="22.5" customHeight="1">
      <c r="B401" s="357"/>
      <c r="C401" s="358"/>
      <c r="D401" s="485" t="str">
        <f>IF(X400=" "," ",INDEX(calcul!E$36:E$52,MATCH(B400,calcul!K$36:K$52,0)))</f>
        <v> </v>
      </c>
      <c r="E401" s="486"/>
      <c r="F401" s="486"/>
      <c r="G401" s="486"/>
      <c r="H401" s="486"/>
      <c r="I401" s="486"/>
      <c r="J401" s="486"/>
      <c r="K401" s="486"/>
      <c r="L401" s="486"/>
      <c r="M401" s="486"/>
      <c r="N401" s="61"/>
      <c r="O401" s="187"/>
      <c r="P401" s="61"/>
      <c r="Q401" s="62"/>
      <c r="R401" s="188"/>
      <c r="S401" s="356"/>
      <c r="T401" s="356"/>
      <c r="U401" s="188"/>
      <c r="V401" s="190"/>
      <c r="W401" s="188"/>
      <c r="X401" s="189"/>
      <c r="Y401" s="46"/>
    </row>
    <row r="402" spans="2:25" s="4" customFormat="1" ht="34.5" customHeight="1">
      <c r="B402" s="487">
        <v>11</v>
      </c>
      <c r="C402" s="488"/>
      <c r="D402" s="495" t="str">
        <f>IF(X402=" "," ",INDEX(calcul!C$36:C72,MATCH(B402,calcul!K$36:K$52,0)))</f>
        <v> </v>
      </c>
      <c r="E402" s="481"/>
      <c r="F402" s="481"/>
      <c r="G402" s="481"/>
      <c r="H402" s="481"/>
      <c r="I402" s="481"/>
      <c r="J402" s="481"/>
      <c r="K402" s="481"/>
      <c r="L402" s="481"/>
      <c r="M402" s="481"/>
      <c r="N402" s="239"/>
      <c r="O402" s="360" t="str">
        <f>IF(X402="-","?"," ")</f>
        <v> </v>
      </c>
      <c r="P402" s="239"/>
      <c r="Q402" s="361" t="str">
        <f>INDEX(calcul!AK$36:AK$52,MATCH(B402,calcul!K$36:K$52,0))</f>
        <v> </v>
      </c>
      <c r="R402" s="362"/>
      <c r="S402" s="499" t="str">
        <f>INDEX(calcul!AL$36:AL$52,MATCH(B402,calcul!K$36:K$52,0))</f>
        <v> </v>
      </c>
      <c r="T402" s="499"/>
      <c r="U402" s="362"/>
      <c r="V402" s="365" t="str">
        <f>INDEX(calcul!AM$36:AM$52,MATCH(B402,calcul!K$36:K$52,0))</f>
        <v> </v>
      </c>
      <c r="W402" s="362"/>
      <c r="X402" s="363" t="str">
        <f>INDEX(calcul!AN$36:AN$52,MATCH(B402,calcul!K$36:K$52,0))</f>
        <v> </v>
      </c>
      <c r="Y402" s="375"/>
    </row>
    <row r="403" spans="2:25" ht="22.5" customHeight="1">
      <c r="B403" s="357"/>
      <c r="C403" s="358"/>
      <c r="D403" s="485" t="str">
        <f>IF(X402=" "," ",INDEX(calcul!E$36:E$52,MATCH(B402,calcul!K$36:K$52,0)))</f>
        <v> </v>
      </c>
      <c r="E403" s="486"/>
      <c r="F403" s="486"/>
      <c r="G403" s="486"/>
      <c r="H403" s="486"/>
      <c r="I403" s="486"/>
      <c r="J403" s="486"/>
      <c r="K403" s="486"/>
      <c r="L403" s="486"/>
      <c r="M403" s="486"/>
      <c r="N403" s="61"/>
      <c r="O403" s="187"/>
      <c r="P403" s="61"/>
      <c r="Q403" s="62"/>
      <c r="R403" s="188"/>
      <c r="S403" s="356"/>
      <c r="T403" s="356"/>
      <c r="U403" s="188"/>
      <c r="V403" s="190"/>
      <c r="W403" s="188"/>
      <c r="X403" s="189"/>
      <c r="Y403" s="46"/>
    </row>
    <row r="404" spans="2:25" s="4" customFormat="1" ht="34.5" customHeight="1">
      <c r="B404" s="487">
        <v>12</v>
      </c>
      <c r="C404" s="488"/>
      <c r="D404" s="495" t="str">
        <f>IF(X404=" "," ",INDEX(calcul!C$36:C74,MATCH(B404,calcul!K$36:K$52,0)))</f>
        <v> </v>
      </c>
      <c r="E404" s="481"/>
      <c r="F404" s="481"/>
      <c r="G404" s="481"/>
      <c r="H404" s="481"/>
      <c r="I404" s="481"/>
      <c r="J404" s="481"/>
      <c r="K404" s="481"/>
      <c r="L404" s="481"/>
      <c r="M404" s="481"/>
      <c r="N404" s="239"/>
      <c r="O404" s="360" t="str">
        <f>IF(X404="-","?"," ")</f>
        <v> </v>
      </c>
      <c r="P404" s="239"/>
      <c r="Q404" s="361" t="str">
        <f>INDEX(calcul!AK$36:AK$52,MATCH(B404,calcul!K$36:K$52,0))</f>
        <v> </v>
      </c>
      <c r="R404" s="362"/>
      <c r="S404" s="499" t="str">
        <f>INDEX(calcul!AL$36:AL$52,MATCH(B404,calcul!K$36:K$52,0))</f>
        <v> </v>
      </c>
      <c r="T404" s="499"/>
      <c r="U404" s="362"/>
      <c r="V404" s="365" t="str">
        <f>INDEX(calcul!AM$36:AM$52,MATCH(B404,calcul!K$36:K$52,0))</f>
        <v> </v>
      </c>
      <c r="W404" s="362"/>
      <c r="X404" s="363" t="str">
        <f>INDEX(calcul!AN$36:AN$52,MATCH(B404,calcul!K$36:K$52,0))</f>
        <v> </v>
      </c>
      <c r="Y404" s="375"/>
    </row>
    <row r="405" spans="2:25" ht="22.5" customHeight="1">
      <c r="B405" s="357"/>
      <c r="C405" s="358"/>
      <c r="D405" s="485" t="str">
        <f>IF(X404=" "," ",INDEX(calcul!E$36:E$52,MATCH(B404,calcul!K$36:K$52,0)))</f>
        <v> </v>
      </c>
      <c r="E405" s="486"/>
      <c r="F405" s="486"/>
      <c r="G405" s="486"/>
      <c r="H405" s="486"/>
      <c r="I405" s="486"/>
      <c r="J405" s="486"/>
      <c r="K405" s="486"/>
      <c r="L405" s="486"/>
      <c r="M405" s="486"/>
      <c r="N405" s="61"/>
      <c r="O405" s="187"/>
      <c r="P405" s="61"/>
      <c r="Q405" s="62"/>
      <c r="R405" s="188"/>
      <c r="S405" s="356"/>
      <c r="T405" s="356"/>
      <c r="U405" s="188"/>
      <c r="V405" s="190"/>
      <c r="W405" s="188"/>
      <c r="X405" s="189"/>
      <c r="Y405" s="46"/>
    </row>
    <row r="406" spans="2:25" s="4" customFormat="1" ht="34.5" customHeight="1">
      <c r="B406" s="487">
        <v>13</v>
      </c>
      <c r="C406" s="488"/>
      <c r="D406" s="495" t="str">
        <f>IF(X406=" "," ",INDEX(calcul!C$36:C76,MATCH(B406,calcul!K$36:K$52,0)))</f>
        <v> </v>
      </c>
      <c r="E406" s="481"/>
      <c r="F406" s="481"/>
      <c r="G406" s="481"/>
      <c r="H406" s="481"/>
      <c r="I406" s="481"/>
      <c r="J406" s="481"/>
      <c r="K406" s="481"/>
      <c r="L406" s="481"/>
      <c r="M406" s="481"/>
      <c r="N406" s="239"/>
      <c r="O406" s="360" t="str">
        <f>IF(X406="-","?"," ")</f>
        <v> </v>
      </c>
      <c r="P406" s="239"/>
      <c r="Q406" s="361" t="str">
        <f>INDEX(calcul!AK$36:AK$52,MATCH(B406,calcul!K$36:K$52,0))</f>
        <v> </v>
      </c>
      <c r="R406" s="362"/>
      <c r="S406" s="499" t="str">
        <f>INDEX(calcul!AL$36:AL$52,MATCH(B406,calcul!K$36:K$52,0))</f>
        <v> </v>
      </c>
      <c r="T406" s="499"/>
      <c r="U406" s="362"/>
      <c r="V406" s="365" t="str">
        <f>INDEX(calcul!AM$36:AM$52,MATCH(B406,calcul!K$36:K$52,0))</f>
        <v> </v>
      </c>
      <c r="W406" s="362"/>
      <c r="X406" s="363" t="str">
        <f>INDEX(calcul!AN$36:AN$52,MATCH(B406,calcul!K$36:K$52,0))</f>
        <v> </v>
      </c>
      <c r="Y406" s="375"/>
    </row>
    <row r="407" spans="2:25" ht="22.5" customHeight="1">
      <c r="B407" s="357"/>
      <c r="C407" s="358"/>
      <c r="D407" s="485" t="str">
        <f>IF(X406=" "," ",INDEX(calcul!E$36:E$52,MATCH(B406,calcul!K$36:K$52,0)))</f>
        <v> </v>
      </c>
      <c r="E407" s="486"/>
      <c r="F407" s="486"/>
      <c r="G407" s="486"/>
      <c r="H407" s="486"/>
      <c r="I407" s="486"/>
      <c r="J407" s="486"/>
      <c r="K407" s="486"/>
      <c r="L407" s="486"/>
      <c r="M407" s="486"/>
      <c r="N407" s="61"/>
      <c r="O407" s="187"/>
      <c r="P407" s="61"/>
      <c r="Q407" s="62"/>
      <c r="R407" s="188"/>
      <c r="S407" s="356"/>
      <c r="T407" s="356"/>
      <c r="U407" s="188"/>
      <c r="V407" s="190"/>
      <c r="W407" s="188"/>
      <c r="X407" s="189"/>
      <c r="Y407" s="46"/>
    </row>
    <row r="408" spans="2:25" s="4" customFormat="1" ht="34.5" customHeight="1">
      <c r="B408" s="487">
        <v>14</v>
      </c>
      <c r="C408" s="488"/>
      <c r="D408" s="544" t="str">
        <f>IF(X408=" "," ",INDEX(calcul!C$36:C78,MATCH(B408,calcul!K$36:K$52,0)))</f>
        <v> </v>
      </c>
      <c r="E408" s="545"/>
      <c r="F408" s="545"/>
      <c r="G408" s="545"/>
      <c r="H408" s="545"/>
      <c r="I408" s="545"/>
      <c r="J408" s="545"/>
      <c r="K408" s="545"/>
      <c r="L408" s="545"/>
      <c r="M408" s="545"/>
      <c r="N408" s="546"/>
      <c r="O408" s="547" t="str">
        <f>IF(X408="-","?"," ")</f>
        <v> </v>
      </c>
      <c r="P408" s="546"/>
      <c r="Q408" s="548" t="str">
        <f>INDEX(calcul!AK$36:AK$52,MATCH(B408,calcul!K$36:K$52,0))</f>
        <v> </v>
      </c>
      <c r="R408" s="549"/>
      <c r="S408" s="550" t="str">
        <f>INDEX(calcul!AL$36:AL$52,MATCH(B408,calcul!K$36:K$52,0))</f>
        <v> </v>
      </c>
      <c r="T408" s="550"/>
      <c r="U408" s="549"/>
      <c r="V408" s="365" t="str">
        <f>INDEX(calcul!AM$36:AM$52,MATCH(B408,calcul!K$36:K$52,0))</f>
        <v> </v>
      </c>
      <c r="W408" s="549"/>
      <c r="X408" s="551" t="str">
        <f>INDEX(calcul!AN$36:AN$52,MATCH(B408,calcul!K$36:K$52,0))</f>
        <v> </v>
      </c>
      <c r="Y408" s="375"/>
    </row>
    <row r="409" spans="2:25" ht="22.5" customHeight="1">
      <c r="B409" s="357"/>
      <c r="C409" s="358"/>
      <c r="D409" s="485" t="str">
        <f>IF(X408=" "," ",INDEX(calcul!E$36:E$52,MATCH(B408,calcul!K$36:K$52,0)))</f>
        <v> </v>
      </c>
      <c r="E409" s="486"/>
      <c r="F409" s="486"/>
      <c r="G409" s="486"/>
      <c r="H409" s="486"/>
      <c r="I409" s="486"/>
      <c r="J409" s="486"/>
      <c r="K409" s="486"/>
      <c r="L409" s="486"/>
      <c r="M409" s="486"/>
      <c r="N409" s="61"/>
      <c r="O409" s="187"/>
      <c r="P409" s="61"/>
      <c r="Q409" s="62"/>
      <c r="R409" s="188"/>
      <c r="S409" s="356"/>
      <c r="T409" s="356"/>
      <c r="U409" s="188"/>
      <c r="V409" s="190"/>
      <c r="W409" s="188"/>
      <c r="X409" s="189"/>
      <c r="Y409" s="46"/>
    </row>
    <row r="410" spans="2:25" s="4" customFormat="1" ht="34.5" customHeight="1">
      <c r="B410" s="487">
        <v>15</v>
      </c>
      <c r="C410" s="488"/>
      <c r="D410" s="495" t="str">
        <f>IF(X410=" "," ",INDEX(calcul!C$36:C80,MATCH(B410,calcul!K$36:K$52,0)))</f>
        <v> </v>
      </c>
      <c r="E410" s="481"/>
      <c r="F410" s="481"/>
      <c r="G410" s="481"/>
      <c r="H410" s="481"/>
      <c r="I410" s="481"/>
      <c r="J410" s="481"/>
      <c r="K410" s="481"/>
      <c r="L410" s="481"/>
      <c r="M410" s="481"/>
      <c r="N410" s="239"/>
      <c r="O410" s="360" t="str">
        <f>IF(X410="-","?"," ")</f>
        <v> </v>
      </c>
      <c r="P410" s="239"/>
      <c r="Q410" s="361" t="str">
        <f>INDEX(calcul!AK$36:AK$52,MATCH(B410,calcul!K$36:K$52,0))</f>
        <v> </v>
      </c>
      <c r="R410" s="362"/>
      <c r="S410" s="499" t="str">
        <f>INDEX(calcul!AL$36:AL$52,MATCH(B410,calcul!K$36:K$52,0))</f>
        <v> </v>
      </c>
      <c r="T410" s="499"/>
      <c r="U410" s="362"/>
      <c r="V410" s="365" t="str">
        <f>INDEX(calcul!AM$36:AM$52,MATCH(B410,calcul!K$36:K$52,0))</f>
        <v> </v>
      </c>
      <c r="W410" s="362"/>
      <c r="X410" s="363" t="str">
        <f>INDEX(calcul!AN$36:AN$52,MATCH(B410,calcul!K$36:K$52,0))</f>
        <v> </v>
      </c>
      <c r="Y410" s="375"/>
    </row>
    <row r="411" spans="2:25" ht="22.5" customHeight="1">
      <c r="B411" s="357"/>
      <c r="C411" s="358"/>
      <c r="D411" s="485" t="str">
        <f>IF(X410=" "," ",INDEX(calcul!E$36:E$52,MATCH(B410,calcul!K$36:K$52,0)))</f>
        <v> </v>
      </c>
      <c r="E411" s="486"/>
      <c r="F411" s="486"/>
      <c r="G411" s="486"/>
      <c r="H411" s="486"/>
      <c r="I411" s="486"/>
      <c r="J411" s="486"/>
      <c r="K411" s="486"/>
      <c r="L411" s="486"/>
      <c r="M411" s="486"/>
      <c r="N411" s="61"/>
      <c r="O411" s="187"/>
      <c r="P411" s="61"/>
      <c r="Q411" s="62"/>
      <c r="R411" s="188"/>
      <c r="S411" s="356"/>
      <c r="T411" s="356"/>
      <c r="U411" s="188"/>
      <c r="V411" s="190"/>
      <c r="W411" s="188"/>
      <c r="X411" s="189"/>
      <c r="Y411" s="46"/>
    </row>
    <row r="412" spans="2:25" s="4" customFormat="1" ht="34.5" customHeight="1">
      <c r="B412" s="487">
        <v>16</v>
      </c>
      <c r="C412" s="488"/>
      <c r="D412" s="495" t="str">
        <f>IF(X412=" "," ",INDEX(calcul!C$36:C82,MATCH(B412,calcul!K$36:K$52,0)))</f>
        <v> </v>
      </c>
      <c r="E412" s="481"/>
      <c r="F412" s="481"/>
      <c r="G412" s="481"/>
      <c r="H412" s="481"/>
      <c r="I412" s="481"/>
      <c r="J412" s="481"/>
      <c r="K412" s="481"/>
      <c r="L412" s="481"/>
      <c r="M412" s="481"/>
      <c r="N412" s="239"/>
      <c r="O412" s="360" t="str">
        <f>IF(X412="-","?"," ")</f>
        <v> </v>
      </c>
      <c r="P412" s="239"/>
      <c r="Q412" s="361" t="str">
        <f>INDEX(calcul!AK$36:AK$52,MATCH(B412,calcul!K$36:K$52,0))</f>
        <v> </v>
      </c>
      <c r="R412" s="362"/>
      <c r="S412" s="499" t="str">
        <f>INDEX(calcul!AL$36:AL$52,MATCH(B412,calcul!K$36:K$52,0))</f>
        <v> </v>
      </c>
      <c r="T412" s="499"/>
      <c r="U412" s="362"/>
      <c r="V412" s="365" t="str">
        <f>INDEX(calcul!AM$36:AM$52,MATCH(B412,calcul!K$36:K$52,0))</f>
        <v> </v>
      </c>
      <c r="W412" s="362"/>
      <c r="X412" s="363" t="str">
        <f>INDEX(calcul!AN$36:AN$52,MATCH(B412,calcul!K$36:K$52,0))</f>
        <v> </v>
      </c>
      <c r="Y412" s="375"/>
    </row>
    <row r="413" spans="2:25" ht="22.5" customHeight="1">
      <c r="B413" s="357"/>
      <c r="C413" s="358"/>
      <c r="D413" s="485" t="str">
        <f>IF(X412=" "," ",INDEX(calcul!E$36:E$52,MATCH(B412,calcul!K$36:K$52,0)))</f>
        <v> </v>
      </c>
      <c r="E413" s="486"/>
      <c r="F413" s="486"/>
      <c r="G413" s="486"/>
      <c r="H413" s="486"/>
      <c r="I413" s="486"/>
      <c r="J413" s="486"/>
      <c r="K413" s="486"/>
      <c r="L413" s="486"/>
      <c r="M413" s="486"/>
      <c r="N413" s="61"/>
      <c r="O413" s="187"/>
      <c r="P413" s="61"/>
      <c r="Q413" s="62"/>
      <c r="R413" s="188"/>
      <c r="S413" s="356"/>
      <c r="T413" s="356"/>
      <c r="U413" s="188"/>
      <c r="V413" s="190"/>
      <c r="W413" s="188"/>
      <c r="X413" s="189"/>
      <c r="Y413" s="46"/>
    </row>
    <row r="414" spans="2:25" s="4" customFormat="1" ht="34.5" customHeight="1">
      <c r="B414" s="487">
        <v>17</v>
      </c>
      <c r="C414" s="488"/>
      <c r="D414" s="495" t="str">
        <f>IF(X414=" "," ",INDEX(calcul!C$36:C84,MATCH(B414,calcul!K$36:K$52,0)))</f>
        <v> </v>
      </c>
      <c r="E414" s="481"/>
      <c r="F414" s="481"/>
      <c r="G414" s="481"/>
      <c r="H414" s="481"/>
      <c r="I414" s="481"/>
      <c r="J414" s="481"/>
      <c r="K414" s="481"/>
      <c r="L414" s="481"/>
      <c r="M414" s="481"/>
      <c r="N414" s="239"/>
      <c r="O414" s="360" t="str">
        <f>IF(X414="-","?"," ")</f>
        <v> </v>
      </c>
      <c r="P414" s="239"/>
      <c r="Q414" s="361" t="str">
        <f>INDEX(calcul!AK$36:AK$52,MATCH(B414,calcul!K$36:K$52,0))</f>
        <v> </v>
      </c>
      <c r="R414" s="362"/>
      <c r="S414" s="499" t="str">
        <f>INDEX(calcul!AL$36:AL$52,MATCH(B414,calcul!K$36:K$52,0))</f>
        <v> </v>
      </c>
      <c r="T414" s="499"/>
      <c r="U414" s="362"/>
      <c r="V414" s="365" t="str">
        <f>INDEX(calcul!AM$36:AM$52,MATCH(B414,calcul!K$36:K$52,0))</f>
        <v> </v>
      </c>
      <c r="W414" s="362"/>
      <c r="X414" s="363" t="str">
        <f>INDEX(calcul!AN$36:AN$52,MATCH(B414,calcul!K$36:K$52,0))</f>
        <v> </v>
      </c>
      <c r="Y414" s="375"/>
    </row>
    <row r="415" spans="2:25" ht="22.5" customHeight="1" thickBot="1">
      <c r="B415" s="357"/>
      <c r="C415" s="358"/>
      <c r="D415" s="485" t="str">
        <f>IF(X414=" "," ",INDEX(calcul!E$36:E$52,MATCH(B414,calcul!K$36:K$52,0)))</f>
        <v> </v>
      </c>
      <c r="E415" s="486"/>
      <c r="F415" s="486"/>
      <c r="G415" s="486"/>
      <c r="H415" s="486"/>
      <c r="I415" s="486"/>
      <c r="J415" s="486"/>
      <c r="K415" s="486"/>
      <c r="L415" s="486"/>
      <c r="M415" s="486"/>
      <c r="N415" s="61"/>
      <c r="O415" s="187"/>
      <c r="P415" s="61"/>
      <c r="Q415" s="62"/>
      <c r="R415" s="188"/>
      <c r="S415" s="356"/>
      <c r="T415" s="356"/>
      <c r="U415" s="188"/>
      <c r="V415" s="367"/>
      <c r="W415" s="188"/>
      <c r="X415" s="189"/>
      <c r="Y415" s="46"/>
    </row>
    <row r="416" spans="2:25" ht="11.25" customHeight="1">
      <c r="B416" s="48"/>
      <c r="C416" s="49"/>
      <c r="D416" s="49"/>
      <c r="E416" s="49"/>
      <c r="F416" s="49"/>
      <c r="G416" s="49"/>
      <c r="H416" s="49"/>
      <c r="I416" s="49"/>
      <c r="M416" s="50"/>
      <c r="N416" s="50"/>
      <c r="O416" s="50"/>
      <c r="P416" s="50"/>
      <c r="Q416" s="52"/>
      <c r="R416" s="52"/>
      <c r="S416" s="52"/>
      <c r="T416" s="52"/>
      <c r="U416" s="52"/>
      <c r="V416" s="52"/>
      <c r="W416" s="52"/>
      <c r="X416" s="51"/>
      <c r="Y416" s="4"/>
    </row>
  </sheetData>
  <mergeCells count="186">
    <mergeCell ref="B354:C354"/>
    <mergeCell ref="D354:M354"/>
    <mergeCell ref="S354:T354"/>
    <mergeCell ref="D355:M355"/>
    <mergeCell ref="B352:C352"/>
    <mergeCell ref="D352:M352"/>
    <mergeCell ref="S352:T352"/>
    <mergeCell ref="D353:M353"/>
    <mergeCell ref="D375:M375"/>
    <mergeCell ref="D376:M376"/>
    <mergeCell ref="D377:M377"/>
    <mergeCell ref="D378:M378"/>
    <mergeCell ref="D385:M385"/>
    <mergeCell ref="D384:M384"/>
    <mergeCell ref="D383:M383"/>
    <mergeCell ref="D382:M382"/>
    <mergeCell ref="D389:M389"/>
    <mergeCell ref="D388:M388"/>
    <mergeCell ref="D387:M387"/>
    <mergeCell ref="D386:M386"/>
    <mergeCell ref="D407:M407"/>
    <mergeCell ref="D406:M406"/>
    <mergeCell ref="D405:M405"/>
    <mergeCell ref="D403:M403"/>
    <mergeCell ref="D411:M411"/>
    <mergeCell ref="D410:M410"/>
    <mergeCell ref="D409:M409"/>
    <mergeCell ref="D408:M408"/>
    <mergeCell ref="D415:M415"/>
    <mergeCell ref="D363:M363"/>
    <mergeCell ref="D364:M364"/>
    <mergeCell ref="D365:M365"/>
    <mergeCell ref="D366:M366"/>
    <mergeCell ref="D367:M367"/>
    <mergeCell ref="D368:M368"/>
    <mergeCell ref="D369:M369"/>
    <mergeCell ref="D370:M370"/>
    <mergeCell ref="D371:M371"/>
    <mergeCell ref="B412:C412"/>
    <mergeCell ref="S412:T412"/>
    <mergeCell ref="B414:C414"/>
    <mergeCell ref="S414:T414"/>
    <mergeCell ref="D414:M414"/>
    <mergeCell ref="D413:M413"/>
    <mergeCell ref="D412:M412"/>
    <mergeCell ref="B408:C408"/>
    <mergeCell ref="S408:T408"/>
    <mergeCell ref="B410:C410"/>
    <mergeCell ref="S410:T410"/>
    <mergeCell ref="S404:T404"/>
    <mergeCell ref="B406:C406"/>
    <mergeCell ref="S406:T406"/>
    <mergeCell ref="D404:M404"/>
    <mergeCell ref="B358:C358"/>
    <mergeCell ref="D359:M359"/>
    <mergeCell ref="D349:M349"/>
    <mergeCell ref="B404:C404"/>
    <mergeCell ref="D402:M402"/>
    <mergeCell ref="D401:M401"/>
    <mergeCell ref="D400:M400"/>
    <mergeCell ref="D399:M399"/>
    <mergeCell ref="D398:M398"/>
    <mergeCell ref="D397:M397"/>
    <mergeCell ref="S348:T348"/>
    <mergeCell ref="S338:T338"/>
    <mergeCell ref="D372:M372"/>
    <mergeCell ref="D373:M373"/>
    <mergeCell ref="D343:M343"/>
    <mergeCell ref="D342:M342"/>
    <mergeCell ref="D341:M341"/>
    <mergeCell ref="D346:M346"/>
    <mergeCell ref="D345:M345"/>
    <mergeCell ref="D344:M344"/>
    <mergeCell ref="S336:T336"/>
    <mergeCell ref="S340:T340"/>
    <mergeCell ref="D340:M340"/>
    <mergeCell ref="D339:M339"/>
    <mergeCell ref="D338:M338"/>
    <mergeCell ref="D337:M337"/>
    <mergeCell ref="D336:M336"/>
    <mergeCell ref="B326:Y326"/>
    <mergeCell ref="V328:V330"/>
    <mergeCell ref="X328:X330"/>
    <mergeCell ref="S328:T330"/>
    <mergeCell ref="B1:Y1"/>
    <mergeCell ref="S165:S168"/>
    <mergeCell ref="C172:M173"/>
    <mergeCell ref="S7:S10"/>
    <mergeCell ref="C157:M158"/>
    <mergeCell ref="C144:M144"/>
    <mergeCell ref="D46:M46"/>
    <mergeCell ref="D35:M35"/>
    <mergeCell ref="D63:M63"/>
    <mergeCell ref="D103:M103"/>
    <mergeCell ref="D357:M357"/>
    <mergeCell ref="D356:M356"/>
    <mergeCell ref="D351:M351"/>
    <mergeCell ref="D350:M350"/>
    <mergeCell ref="B340:C340"/>
    <mergeCell ref="B342:C342"/>
    <mergeCell ref="Q328:Q330"/>
    <mergeCell ref="D335:M335"/>
    <mergeCell ref="D334:M334"/>
    <mergeCell ref="B336:C336"/>
    <mergeCell ref="B338:C338"/>
    <mergeCell ref="S358:T358"/>
    <mergeCell ref="S363:T363"/>
    <mergeCell ref="B375:C375"/>
    <mergeCell ref="B367:C367"/>
    <mergeCell ref="B369:C369"/>
    <mergeCell ref="B365:C365"/>
    <mergeCell ref="B371:C371"/>
    <mergeCell ref="B373:C373"/>
    <mergeCell ref="B363:C363"/>
    <mergeCell ref="D358:M358"/>
    <mergeCell ref="B350:C350"/>
    <mergeCell ref="B356:C356"/>
    <mergeCell ref="S346:T346"/>
    <mergeCell ref="S344:T344"/>
    <mergeCell ref="S350:T350"/>
    <mergeCell ref="B344:C344"/>
    <mergeCell ref="B348:C348"/>
    <mergeCell ref="B346:C346"/>
    <mergeCell ref="D348:M348"/>
    <mergeCell ref="D347:M347"/>
    <mergeCell ref="B382:C382"/>
    <mergeCell ref="B384:C384"/>
    <mergeCell ref="B386:C386"/>
    <mergeCell ref="S342:T342"/>
    <mergeCell ref="S371:T371"/>
    <mergeCell ref="B377:C377"/>
    <mergeCell ref="S377:T377"/>
    <mergeCell ref="S375:T375"/>
    <mergeCell ref="S373:T373"/>
    <mergeCell ref="D374:M374"/>
    <mergeCell ref="B400:C400"/>
    <mergeCell ref="B402:C402"/>
    <mergeCell ref="B388:C388"/>
    <mergeCell ref="B390:C390"/>
    <mergeCell ref="B392:C392"/>
    <mergeCell ref="B394:C394"/>
    <mergeCell ref="D393:M393"/>
    <mergeCell ref="D392:M392"/>
    <mergeCell ref="B396:C396"/>
    <mergeCell ref="B398:C398"/>
    <mergeCell ref="D396:M396"/>
    <mergeCell ref="D391:M391"/>
    <mergeCell ref="D390:M390"/>
    <mergeCell ref="S402:T402"/>
    <mergeCell ref="S400:T400"/>
    <mergeCell ref="S398:T398"/>
    <mergeCell ref="S396:T396"/>
    <mergeCell ref="S394:T394"/>
    <mergeCell ref="S392:T392"/>
    <mergeCell ref="D395:M395"/>
    <mergeCell ref="D394:M394"/>
    <mergeCell ref="D194:M195"/>
    <mergeCell ref="S382:T382"/>
    <mergeCell ref="S390:T390"/>
    <mergeCell ref="S388:T388"/>
    <mergeCell ref="S386:T386"/>
    <mergeCell ref="S384:T384"/>
    <mergeCell ref="S369:T369"/>
    <mergeCell ref="S367:T367"/>
    <mergeCell ref="S356:T356"/>
    <mergeCell ref="S365:T365"/>
    <mergeCell ref="S334:T334"/>
    <mergeCell ref="C214:M214"/>
    <mergeCell ref="S237:S240"/>
    <mergeCell ref="C274:M275"/>
    <mergeCell ref="C226:M226"/>
    <mergeCell ref="D254:N254"/>
    <mergeCell ref="D255:N255"/>
    <mergeCell ref="B334:C334"/>
    <mergeCell ref="C280:M281"/>
    <mergeCell ref="C282:M282"/>
    <mergeCell ref="C13:M14"/>
    <mergeCell ref="D64:M64"/>
    <mergeCell ref="C300:M301"/>
    <mergeCell ref="C292:M292"/>
    <mergeCell ref="D74:M74"/>
    <mergeCell ref="D188:M189"/>
    <mergeCell ref="D106:M106"/>
    <mergeCell ref="D105:M105"/>
    <mergeCell ref="C231:M232"/>
    <mergeCell ref="D130:M131"/>
  </mergeCells>
  <dataValidations count="2">
    <dataValidation type="list" allowBlank="1" showInputMessage="1" showErrorMessage="1" sqref="S325 S281 S275 S267 S246 S119 S43 S140:S141 S226 S232 S121:S122 S49 S22:S32 S60 S38"/>
    <dataValidation type="list" allowBlank="1" showInputMessage="1" showErrorMessage="1" sqref="S314 S308 S300:S301 S291 S274 S266 S249 S254 S260 S231 S244 S13:S15 S280 S21 S34 S40 S45 S51:S52 S57 S62 S73 S79 S87 S102 S111 S120 S124:S125 S130:S131 S139 S143 S151 S157 S172 S178 S188 S194:S195 S201 S213 S219 S225 S320">
      <formula1>Choix_fréquence</formula1>
    </dataValidation>
  </dataValidations>
  <printOptions/>
  <pageMargins left="0.5905511811023623" right="0.3937007874015748" top="0.7874015748031497" bottom="0.984251968503937" header="0.5118110236220472" footer="0.5118110236220472"/>
  <pageSetup fitToHeight="0" horizontalDpi="355" verticalDpi="355" orientation="portrait" paperSize="9" scale="89" r:id="rId3"/>
  <headerFooter alignWithMargins="0">
    <oddFooter>&amp;L&amp;8Check-list d'audit&amp;C&amp;8CHAUFFAGE DES BATIMENTS CLIMATISES&amp;R&amp;8Page &amp;P / &amp;N</oddFooter>
  </headerFooter>
  <rowBreaks count="4" manualBreakCount="4">
    <brk id="60" min="1" max="26" man="1"/>
    <brk id="128" min="1" max="26" man="1"/>
    <brk id="199" min="1" max="26" man="1"/>
    <brk id="325" max="255" man="1"/>
  </rowBreaks>
  <colBreaks count="1" manualBreakCount="1">
    <brk id="27" max="65535" man="1"/>
  </colBreaks>
  <ignoredErrors>
    <ignoredError sqref="D356:D358 D353:D355 D351:D352 D349:D350 D347:D348 D343:D346 D335 D337 D339:D341 D342 D364 D366 D368 D370 D372 D374 D376 D384 D386 D388 D390 D392 D394 D396 D398 D400 D402 D404 D406 D408 D410 D412 D414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K247"/>
  <sheetViews>
    <sheetView showGridLines="0" showRowColHeaders="0" workbookViewId="0" topLeftCell="A1">
      <selection activeCell="A87" sqref="A87:IV92"/>
    </sheetView>
  </sheetViews>
  <sheetFormatPr defaultColWidth="11.421875" defaultRowHeight="12.75"/>
  <cols>
    <col min="1" max="1" width="5.00390625" style="4" customWidth="1"/>
    <col min="2" max="2" width="76.140625" style="306" customWidth="1"/>
    <col min="3" max="3" width="4.140625" style="199" customWidth="1"/>
    <col min="4" max="4" width="4.421875" style="199" customWidth="1"/>
    <col min="5" max="5" width="4.421875" style="170" customWidth="1"/>
    <col min="6" max="7" width="11.421875" style="4" hidden="1" customWidth="1"/>
    <col min="8" max="8" width="1.8515625" style="4" hidden="1" customWidth="1"/>
    <col min="9" max="9" width="11.421875" style="4" hidden="1" customWidth="1"/>
    <col min="10" max="16384" width="11.421875" style="4" customWidth="1"/>
  </cols>
  <sheetData>
    <row r="1" spans="1:5" ht="26.25" customHeight="1">
      <c r="A1" s="422" t="s">
        <v>49</v>
      </c>
      <c r="B1" s="368"/>
      <c r="E1" s="200"/>
    </row>
    <row r="2" spans="1:5" ht="26.25" customHeight="1">
      <c r="A2" s="423" t="s">
        <v>139</v>
      </c>
      <c r="B2" s="368"/>
      <c r="E2" s="200"/>
    </row>
    <row r="3" spans="2:5" ht="31.5" customHeight="1">
      <c r="B3" s="368"/>
      <c r="C3" s="524" t="s">
        <v>0</v>
      </c>
      <c r="D3" s="526" t="s">
        <v>1</v>
      </c>
      <c r="E3" s="528" t="s">
        <v>47</v>
      </c>
    </row>
    <row r="4" spans="1:5" ht="25.5">
      <c r="A4" s="199"/>
      <c r="B4" s="369"/>
      <c r="C4" s="525"/>
      <c r="D4" s="527"/>
      <c r="E4" s="525"/>
    </row>
    <row r="5" spans="1:5" ht="21" customHeight="1">
      <c r="A5" s="199"/>
      <c r="B5" s="368"/>
      <c r="C5" s="525"/>
      <c r="D5" s="527"/>
      <c r="E5" s="525"/>
    </row>
    <row r="6" spans="1:5" s="202" customFormat="1" ht="21" customHeight="1">
      <c r="A6" s="219" t="s">
        <v>12</v>
      </c>
      <c r="B6" s="370"/>
      <c r="C6" s="379"/>
      <c r="D6" s="380"/>
      <c r="E6" s="201"/>
    </row>
    <row r="7" spans="1:9" ht="12.75">
      <c r="A7" s="203">
        <v>1</v>
      </c>
      <c r="B7" s="371" t="s">
        <v>11</v>
      </c>
      <c r="C7" s="215">
        <v>3</v>
      </c>
      <c r="D7" s="216">
        <v>2</v>
      </c>
      <c r="E7" s="206">
        <f>C7*D7</f>
        <v>6</v>
      </c>
      <c r="G7" s="393">
        <v>1</v>
      </c>
      <c r="H7" s="394" t="str">
        <f aca="true" t="shared" si="0" ref="H7:H19">INDEX(B$7:B$32,MATCH(G7,A$7:A$32,0))</f>
        <v>Remplacer la chaudière et le brûleur</v>
      </c>
      <c r="I7" s="394"/>
    </row>
    <row r="8" spans="1:9" s="46" customFormat="1" ht="12.75">
      <c r="A8" s="207"/>
      <c r="B8" s="386" t="s">
        <v>152</v>
      </c>
      <c r="C8" s="208"/>
      <c r="D8" s="209"/>
      <c r="E8" s="210"/>
      <c r="G8" s="395">
        <f>G7+1</f>
        <v>2</v>
      </c>
      <c r="H8" s="394" t="str">
        <f t="shared" si="0"/>
        <v>Remplacer le brûleur </v>
      </c>
      <c r="I8" s="394"/>
    </row>
    <row r="9" spans="1:9" ht="12.75">
      <c r="A9" s="203">
        <f>A7+1</f>
        <v>2</v>
      </c>
      <c r="B9" s="223" t="s">
        <v>10</v>
      </c>
      <c r="C9" s="215">
        <v>2</v>
      </c>
      <c r="D9" s="216">
        <v>2</v>
      </c>
      <c r="E9" s="206">
        <f>C9*D9</f>
        <v>4</v>
      </c>
      <c r="G9" s="395">
        <f aca="true" t="shared" si="1" ref="G9:G18">G8+1</f>
        <v>3</v>
      </c>
      <c r="H9" s="394" t="str">
        <f t="shared" si="0"/>
        <v>Régler le régulateur de tirage</v>
      </c>
      <c r="I9" s="394"/>
    </row>
    <row r="10" spans="1:9" s="46" customFormat="1" ht="12.75">
      <c r="A10" s="207"/>
      <c r="B10" s="386" t="s">
        <v>153</v>
      </c>
      <c r="C10" s="208"/>
      <c r="D10" s="209"/>
      <c r="E10" s="210"/>
      <c r="G10" s="395">
        <f t="shared" si="1"/>
        <v>4</v>
      </c>
      <c r="H10" s="394" t="str">
        <f t="shared" si="0"/>
        <v>Placer un régulateur de tirage </v>
      </c>
      <c r="I10" s="394"/>
    </row>
    <row r="11" spans="1:9" ht="12.75">
      <c r="A11" s="203">
        <f>A9+1</f>
        <v>3</v>
      </c>
      <c r="B11" s="223" t="s">
        <v>28</v>
      </c>
      <c r="C11" s="215">
        <v>1</v>
      </c>
      <c r="D11" s="216">
        <v>3</v>
      </c>
      <c r="E11" s="206">
        <f>C11*D11</f>
        <v>3</v>
      </c>
      <c r="G11" s="395">
        <f t="shared" si="1"/>
        <v>5</v>
      </c>
      <c r="H11" s="394" t="str">
        <f t="shared" si="0"/>
        <v>Nettoyer la chaudière</v>
      </c>
      <c r="I11" s="394"/>
    </row>
    <row r="12" spans="1:9" s="46" customFormat="1" ht="12.75">
      <c r="A12" s="207"/>
      <c r="B12" s="382" t="s">
        <v>154</v>
      </c>
      <c r="C12" s="208"/>
      <c r="D12" s="209"/>
      <c r="E12" s="210"/>
      <c r="G12" s="395">
        <f t="shared" si="1"/>
        <v>6</v>
      </c>
      <c r="H12" s="394" t="str">
        <f t="shared" si="0"/>
        <v>Réisoler la chaudière, et par la suite, envisager son remplacement</v>
      </c>
      <c r="I12" s="394"/>
    </row>
    <row r="13" spans="1:9" ht="12.75">
      <c r="A13" s="203">
        <f>A11+1</f>
        <v>4</v>
      </c>
      <c r="B13" s="223" t="s">
        <v>117</v>
      </c>
      <c r="C13" s="215">
        <v>1</v>
      </c>
      <c r="D13" s="216">
        <v>3</v>
      </c>
      <c r="E13" s="206">
        <f>C13*D13</f>
        <v>3</v>
      </c>
      <c r="G13" s="395">
        <f t="shared" si="1"/>
        <v>7</v>
      </c>
      <c r="H13" s="394" t="str">
        <f t="shared" si="0"/>
        <v>Améliorer le réglage du brûleur : Régler le registre d'air et la tête de combustion</v>
      </c>
      <c r="I13" s="394"/>
    </row>
    <row r="14" spans="1:9" s="46" customFormat="1" ht="12.75">
      <c r="A14" s="207"/>
      <c r="B14" s="382" t="s">
        <v>154</v>
      </c>
      <c r="C14" s="208"/>
      <c r="D14" s="209"/>
      <c r="E14" s="210"/>
      <c r="G14" s="395">
        <f t="shared" si="1"/>
        <v>8</v>
      </c>
      <c r="H14" s="394" t="str">
        <f t="shared" si="0"/>
        <v>Colmater les inétanchéités de la chaudière (portes, entre éléments en fonte) </v>
      </c>
      <c r="I14" s="394"/>
    </row>
    <row r="15" spans="1:9" ht="12.75">
      <c r="A15" s="203">
        <f>A13+1</f>
        <v>5</v>
      </c>
      <c r="B15" s="223" t="s">
        <v>119</v>
      </c>
      <c r="C15" s="215">
        <v>1</v>
      </c>
      <c r="D15" s="216">
        <v>3</v>
      </c>
      <c r="E15" s="206">
        <f>C15*D15</f>
        <v>3</v>
      </c>
      <c r="G15" s="395">
        <f t="shared" si="1"/>
        <v>9</v>
      </c>
      <c r="H15" s="394" t="str">
        <f t="shared" si="0"/>
        <v>Diminuer la puissance du brûleur existant (Mettre un gicleur de plus petit calibre)</v>
      </c>
      <c r="I15" s="394"/>
    </row>
    <row r="16" spans="1:9" s="46" customFormat="1" ht="12.75">
      <c r="A16" s="207"/>
      <c r="B16" s="382" t="s">
        <v>128</v>
      </c>
      <c r="C16" s="208"/>
      <c r="D16" s="209"/>
      <c r="E16" s="210"/>
      <c r="G16" s="395">
        <f t="shared" si="1"/>
        <v>10</v>
      </c>
      <c r="H16" s="394" t="str">
        <f t="shared" si="0"/>
        <v>Corriger le raccordement électrique du brûleur ou débloquer le clapet pour qu'il se ferme</v>
      </c>
      <c r="I16" s="394"/>
    </row>
    <row r="17" spans="1:9" ht="12.75">
      <c r="A17" s="203">
        <f>A15+1</f>
        <v>6</v>
      </c>
      <c r="B17" s="223" t="s">
        <v>155</v>
      </c>
      <c r="C17" s="215">
        <v>1</v>
      </c>
      <c r="D17" s="216">
        <v>3</v>
      </c>
      <c r="E17" s="206">
        <f>C17*D17</f>
        <v>3</v>
      </c>
      <c r="G17" s="395">
        <f t="shared" si="1"/>
        <v>11</v>
      </c>
      <c r="H17" s="394" t="str">
        <f t="shared" si="0"/>
        <v>Etudier la faisabilité de la cogénération</v>
      </c>
      <c r="I17" s="394"/>
    </row>
    <row r="18" spans="1:9" s="46" customFormat="1" ht="12.75">
      <c r="A18" s="207"/>
      <c r="B18" s="382" t="s">
        <v>156</v>
      </c>
      <c r="C18" s="208"/>
      <c r="D18" s="209"/>
      <c r="E18" s="210"/>
      <c r="G18" s="395">
        <f t="shared" si="1"/>
        <v>12</v>
      </c>
      <c r="H18" s="394" t="str">
        <f t="shared" si="0"/>
        <v>Equiper les chaudières pour pouvoir piloter chaudières et brûleurs en cascade</v>
      </c>
      <c r="I18" s="394"/>
    </row>
    <row r="19" spans="1:8" ht="12.75">
      <c r="A19" s="203">
        <f>A17+1</f>
        <v>7</v>
      </c>
      <c r="B19" s="223" t="s">
        <v>242</v>
      </c>
      <c r="C19" s="215">
        <v>1</v>
      </c>
      <c r="D19" s="216">
        <v>3</v>
      </c>
      <c r="E19" s="206">
        <f>C19*D19</f>
        <v>3</v>
      </c>
      <c r="G19" s="395">
        <f>G18+1</f>
        <v>13</v>
      </c>
      <c r="H19" s="394" t="str">
        <f t="shared" si="0"/>
        <v>Si le rendement reste inférieur à 88% après avoir effectué les améliorations possibles (colmaté et nettoyé la chaudière, régulé le tirage, diminué la puissance du brûleur), remplacer la chaudière et le brûleur</v>
      </c>
    </row>
    <row r="20" spans="1:5" s="46" customFormat="1" ht="12.75">
      <c r="A20" s="207"/>
      <c r="B20" s="382" t="s">
        <v>126</v>
      </c>
      <c r="C20" s="208"/>
      <c r="D20" s="209"/>
      <c r="E20" s="210"/>
    </row>
    <row r="21" spans="1:7" ht="12.75">
      <c r="A21" s="203">
        <f>A19+1</f>
        <v>8</v>
      </c>
      <c r="B21" s="223" t="s">
        <v>118</v>
      </c>
      <c r="C21" s="215">
        <v>1</v>
      </c>
      <c r="D21" s="216">
        <v>3</v>
      </c>
      <c r="E21" s="206">
        <f>C21*D21</f>
        <v>3</v>
      </c>
      <c r="G21" s="46"/>
    </row>
    <row r="22" spans="1:7" s="46" customFormat="1" ht="12.75">
      <c r="A22" s="207"/>
      <c r="B22" s="382" t="s">
        <v>157</v>
      </c>
      <c r="C22" s="208"/>
      <c r="D22" s="209"/>
      <c r="E22" s="210"/>
      <c r="G22"/>
    </row>
    <row r="23" spans="1:7" ht="12.75">
      <c r="A23" s="203">
        <f>A21+1</f>
        <v>9</v>
      </c>
      <c r="B23" s="223" t="s">
        <v>121</v>
      </c>
      <c r="C23" s="215">
        <v>1</v>
      </c>
      <c r="D23" s="216">
        <v>3</v>
      </c>
      <c r="E23" s="206">
        <f>C23*D23</f>
        <v>3</v>
      </c>
      <c r="G23" s="46"/>
    </row>
    <row r="24" spans="1:7" s="46" customFormat="1" ht="12.75">
      <c r="A24" s="207"/>
      <c r="B24" s="386" t="s">
        <v>158</v>
      </c>
      <c r="C24" s="208"/>
      <c r="D24" s="209"/>
      <c r="E24" s="210"/>
      <c r="G24"/>
    </row>
    <row r="25" spans="1:7" ht="12.75">
      <c r="A25" s="203">
        <f>A23+1</f>
        <v>10</v>
      </c>
      <c r="B25" s="371" t="s">
        <v>159</v>
      </c>
      <c r="C25" s="215">
        <v>1</v>
      </c>
      <c r="D25" s="216">
        <v>3</v>
      </c>
      <c r="E25" s="206">
        <f>C25*D25</f>
        <v>3</v>
      </c>
      <c r="G25" s="46"/>
    </row>
    <row r="26" spans="1:7" s="46" customFormat="1" ht="12.75">
      <c r="A26" s="207"/>
      <c r="B26" s="386" t="s">
        <v>219</v>
      </c>
      <c r="C26" s="208"/>
      <c r="D26" s="209"/>
      <c r="E26" s="210"/>
      <c r="G26"/>
    </row>
    <row r="27" spans="1:7" ht="12.75">
      <c r="A27" s="203">
        <f>A25+1</f>
        <v>11</v>
      </c>
      <c r="B27" s="223" t="s">
        <v>19</v>
      </c>
      <c r="C27" s="215">
        <v>2</v>
      </c>
      <c r="D27" s="216">
        <v>1</v>
      </c>
      <c r="E27" s="206">
        <f>C27*D27</f>
        <v>2</v>
      </c>
      <c r="G27" s="46"/>
    </row>
    <row r="28" spans="1:7" s="46" customFormat="1" ht="33.75">
      <c r="A28" s="207"/>
      <c r="B28" s="382" t="s">
        <v>243</v>
      </c>
      <c r="C28" s="208"/>
      <c r="D28" s="209"/>
      <c r="E28" s="210"/>
      <c r="G28"/>
    </row>
    <row r="29" spans="1:7" ht="12.75">
      <c r="A29" s="203">
        <f>A27+1</f>
        <v>12</v>
      </c>
      <c r="B29" s="371" t="s">
        <v>104</v>
      </c>
      <c r="C29" s="215">
        <v>1</v>
      </c>
      <c r="D29" s="216">
        <v>1</v>
      </c>
      <c r="E29" s="206">
        <f>C29*D29</f>
        <v>1</v>
      </c>
      <c r="G29" s="46"/>
    </row>
    <row r="30" spans="1:7" s="46" customFormat="1" ht="12.75">
      <c r="A30" s="207"/>
      <c r="B30" s="386" t="s">
        <v>127</v>
      </c>
      <c r="C30" s="208"/>
      <c r="D30" s="209"/>
      <c r="E30" s="210"/>
      <c r="G30"/>
    </row>
    <row r="31" spans="1:7" ht="38.25">
      <c r="A31" s="203">
        <f>A29+1</f>
        <v>13</v>
      </c>
      <c r="B31" s="371" t="s">
        <v>193</v>
      </c>
      <c r="C31" s="215" t="s">
        <v>15</v>
      </c>
      <c r="D31" s="216" t="s">
        <v>15</v>
      </c>
      <c r="E31" s="206"/>
      <c r="G31" s="46"/>
    </row>
    <row r="32" spans="1:7" s="46" customFormat="1" ht="12.75">
      <c r="A32" s="207"/>
      <c r="B32" s="385" t="s">
        <v>219</v>
      </c>
      <c r="C32" s="315"/>
      <c r="D32" s="316"/>
      <c r="E32" s="210"/>
      <c r="G32"/>
    </row>
    <row r="33" spans="1:9" ht="12.75">
      <c r="A33" s="218"/>
      <c r="B33" s="211"/>
      <c r="C33" s="204"/>
      <c r="D33" s="205"/>
      <c r="E33" s="206"/>
      <c r="G33" s="396">
        <v>1</v>
      </c>
      <c r="H33" s="397" t="str">
        <f aca="true" t="shared" si="2" ref="H33:H40">INDEX(B$35:B$50,MATCH(G33,A$35:A$50,0))</f>
        <v>Isoler les conduites (ainsi que les vannes) dans les locaux non chauffés en permanence (gaines techniques, faux-plafonds, …)</v>
      </c>
      <c r="I33" s="397"/>
    </row>
    <row r="34" spans="1:9" s="213" customFormat="1" ht="12.75">
      <c r="A34" s="217" t="s">
        <v>160</v>
      </c>
      <c r="B34" s="372"/>
      <c r="C34" s="208"/>
      <c r="D34" s="209"/>
      <c r="E34" s="210"/>
      <c r="G34" s="398">
        <f aca="true" t="shared" si="3" ref="G34:G40">G33+1</f>
        <v>2</v>
      </c>
      <c r="H34" s="397" t="str">
        <f t="shared" si="2"/>
        <v>Réduire de vitesse les circulateurs à plusieurs vitesses</v>
      </c>
      <c r="I34" s="397"/>
    </row>
    <row r="35" spans="1:11" s="2" customFormat="1" ht="25.5">
      <c r="A35" s="203">
        <v>1</v>
      </c>
      <c r="B35" s="371" t="s">
        <v>23</v>
      </c>
      <c r="C35" s="215">
        <v>3</v>
      </c>
      <c r="D35" s="216">
        <v>3</v>
      </c>
      <c r="E35" s="206">
        <f>C35*D35</f>
        <v>9</v>
      </c>
      <c r="F35"/>
      <c r="G35" s="398">
        <f t="shared" si="3"/>
        <v>3</v>
      </c>
      <c r="H35" s="397" t="str">
        <f t="shared" si="2"/>
        <v>Remplacer les circulateurs existants par des circulateurs à vitesse variable</v>
      </c>
      <c r="I35" s="397"/>
      <c r="J35"/>
      <c r="K35"/>
    </row>
    <row r="36" spans="1:11" s="213" customFormat="1" ht="12.75">
      <c r="A36" s="207"/>
      <c r="B36" s="382" t="s">
        <v>161</v>
      </c>
      <c r="C36" s="208"/>
      <c r="D36" s="209"/>
      <c r="E36" s="210"/>
      <c r="F36" s="46"/>
      <c r="G36" s="398">
        <f t="shared" si="3"/>
        <v>4</v>
      </c>
      <c r="H36" s="397" t="str">
        <f t="shared" si="2"/>
        <v>Équilibrer le réseau hydraulique</v>
      </c>
      <c r="I36" s="397"/>
      <c r="J36" s="46"/>
      <c r="K36" s="46"/>
    </row>
    <row r="37" spans="1:11" s="2" customFormat="1" ht="12.75">
      <c r="A37" s="203">
        <f>A35+1</f>
        <v>2</v>
      </c>
      <c r="B37" s="371" t="s">
        <v>163</v>
      </c>
      <c r="C37" s="215">
        <v>3</v>
      </c>
      <c r="D37" s="216">
        <v>3</v>
      </c>
      <c r="E37" s="206">
        <f>C37*D37</f>
        <v>9</v>
      </c>
      <c r="F37"/>
      <c r="G37" s="398">
        <f t="shared" si="3"/>
        <v>5</v>
      </c>
      <c r="H37" s="397" t="str">
        <f t="shared" si="2"/>
        <v>Equiper le départ des différents circuits de vannes d'équilibrage et les radiateurs/ventilo-convecteurs de tés de réglage, puis équilibrer l'installation.</v>
      </c>
      <c r="I37" s="397"/>
      <c r="J37"/>
      <c r="K37"/>
    </row>
    <row r="38" spans="1:11" s="213" customFormat="1" ht="12.75">
      <c r="A38" s="207"/>
      <c r="B38" s="382" t="s">
        <v>241</v>
      </c>
      <c r="C38" s="208"/>
      <c r="D38" s="209"/>
      <c r="E38" s="210"/>
      <c r="F38" s="46"/>
      <c r="G38" s="398">
        <f t="shared" si="3"/>
        <v>6</v>
      </c>
      <c r="H38" s="397" t="str">
        <f t="shared" si="2"/>
        <v>Isoler les vannes situées sur les conduites isolées</v>
      </c>
      <c r="I38" s="397"/>
      <c r="J38" s="46"/>
      <c r="K38" s="46"/>
    </row>
    <row r="39" spans="1:11" s="2" customFormat="1" ht="12.75">
      <c r="A39" s="203">
        <f>A37+1</f>
        <v>3</v>
      </c>
      <c r="B39" s="371" t="s">
        <v>164</v>
      </c>
      <c r="C39" s="215">
        <v>3</v>
      </c>
      <c r="D39" s="216">
        <v>2</v>
      </c>
      <c r="E39" s="206">
        <f>C39*D39</f>
        <v>6</v>
      </c>
      <c r="F39"/>
      <c r="G39" s="398">
        <f t="shared" si="3"/>
        <v>7</v>
      </c>
      <c r="H39" s="397" t="str">
        <f t="shared" si="2"/>
        <v>Adapter le découpage du réseau aux besoins des locaux</v>
      </c>
      <c r="I39" s="397"/>
      <c r="J39"/>
      <c r="K39"/>
    </row>
    <row r="40" spans="1:11" s="213" customFormat="1" ht="12.75">
      <c r="A40" s="207"/>
      <c r="B40" s="382" t="s">
        <v>165</v>
      </c>
      <c r="C40" s="208"/>
      <c r="D40" s="209"/>
      <c r="E40" s="210"/>
      <c r="F40" s="46"/>
      <c r="G40" s="398">
        <f t="shared" si="3"/>
        <v>8</v>
      </c>
      <c r="H40" s="397" t="str">
        <f t="shared" si="2"/>
        <v>Améliorer le réseau hydraulique pour valoriser la chaudière à condensation</v>
      </c>
      <c r="I40" s="397"/>
      <c r="J40" s="46"/>
      <c r="K40" s="46"/>
    </row>
    <row r="41" spans="1:11" s="2" customFormat="1" ht="12.75">
      <c r="A41" s="203">
        <f>A39+1</f>
        <v>4</v>
      </c>
      <c r="B41" s="371" t="s">
        <v>13</v>
      </c>
      <c r="C41" s="215">
        <v>2</v>
      </c>
      <c r="D41" s="216">
        <v>2</v>
      </c>
      <c r="E41" s="206">
        <f>C41*D41</f>
        <v>4</v>
      </c>
      <c r="F41"/>
      <c r="G41" s="46"/>
      <c r="H41"/>
      <c r="I41"/>
      <c r="J41"/>
      <c r="K41"/>
    </row>
    <row r="42" spans="1:11" s="213" customFormat="1" ht="22.5">
      <c r="A42" s="214"/>
      <c r="B42" s="382" t="s">
        <v>166</v>
      </c>
      <c r="C42" s="208"/>
      <c r="D42" s="209"/>
      <c r="E42" s="210"/>
      <c r="F42" s="46"/>
      <c r="G42" s="46"/>
      <c r="H42" s="46"/>
      <c r="I42" s="46"/>
      <c r="J42" s="46"/>
      <c r="K42" s="46"/>
    </row>
    <row r="43" spans="1:11" s="2" customFormat="1" ht="25.5">
      <c r="A43" s="203">
        <f>A41+1</f>
        <v>5</v>
      </c>
      <c r="B43" s="223" t="s">
        <v>110</v>
      </c>
      <c r="C43" s="215">
        <v>2</v>
      </c>
      <c r="D43" s="216">
        <v>2</v>
      </c>
      <c r="E43" s="206">
        <f>C43*D43</f>
        <v>4</v>
      </c>
      <c r="F43"/>
      <c r="H43"/>
      <c r="I43"/>
      <c r="J43"/>
      <c r="K43"/>
    </row>
    <row r="44" spans="1:11" s="213" customFormat="1" ht="22.5">
      <c r="A44" s="207"/>
      <c r="B44" s="382" t="s">
        <v>166</v>
      </c>
      <c r="C44" s="208"/>
      <c r="D44" s="209"/>
      <c r="E44" s="210"/>
      <c r="F44" s="46"/>
      <c r="H44" s="46"/>
      <c r="I44" s="46"/>
      <c r="J44" s="46"/>
      <c r="K44" s="46"/>
    </row>
    <row r="45" spans="1:11" s="2" customFormat="1" ht="12.75">
      <c r="A45" s="203">
        <f>A43+1</f>
        <v>6</v>
      </c>
      <c r="B45" s="371" t="s">
        <v>24</v>
      </c>
      <c r="C45" s="215">
        <v>2</v>
      </c>
      <c r="D45" s="216">
        <v>1</v>
      </c>
      <c r="E45" s="206">
        <f>C45*D45</f>
        <v>2</v>
      </c>
      <c r="F45"/>
      <c r="G45"/>
      <c r="H45"/>
      <c r="I45"/>
      <c r="J45"/>
      <c r="K45"/>
    </row>
    <row r="46" spans="1:11" s="213" customFormat="1" ht="12.75">
      <c r="A46" s="207"/>
      <c r="B46" s="382" t="s">
        <v>162</v>
      </c>
      <c r="C46" s="208"/>
      <c r="D46" s="209"/>
      <c r="E46" s="210"/>
      <c r="F46" s="46"/>
      <c r="G46" s="46"/>
      <c r="H46" s="46"/>
      <c r="I46" s="46"/>
      <c r="J46" s="46"/>
      <c r="K46" s="46"/>
    </row>
    <row r="47" spans="1:11" s="2" customFormat="1" ht="12.75">
      <c r="A47" s="203">
        <f>A45+1</f>
        <v>7</v>
      </c>
      <c r="B47" s="371" t="s">
        <v>198</v>
      </c>
      <c r="C47" s="215">
        <v>2</v>
      </c>
      <c r="D47" s="216">
        <v>1</v>
      </c>
      <c r="E47" s="206">
        <f>C47*D47</f>
        <v>2</v>
      </c>
      <c r="F47"/>
      <c r="H47"/>
      <c r="I47"/>
      <c r="J47"/>
      <c r="K47"/>
    </row>
    <row r="48" spans="1:11" s="213" customFormat="1" ht="12.75">
      <c r="A48" s="207"/>
      <c r="B48" s="384" t="s">
        <v>218</v>
      </c>
      <c r="C48" s="208"/>
      <c r="D48" s="209"/>
      <c r="E48" s="210"/>
      <c r="F48" s="46"/>
      <c r="H48" s="46"/>
      <c r="I48" s="46"/>
      <c r="J48" s="46"/>
      <c r="K48" s="46"/>
    </row>
    <row r="49" spans="1:11" s="2" customFormat="1" ht="12.75">
      <c r="A49" s="203">
        <f>A47+1</f>
        <v>8</v>
      </c>
      <c r="B49" s="223" t="s">
        <v>94</v>
      </c>
      <c r="C49" s="215">
        <v>2</v>
      </c>
      <c r="D49" s="216">
        <v>1</v>
      </c>
      <c r="E49" s="206">
        <f>C49*D49</f>
        <v>2</v>
      </c>
      <c r="F49"/>
      <c r="H49"/>
      <c r="I49"/>
      <c r="J49"/>
      <c r="K49"/>
    </row>
    <row r="50" spans="1:11" s="213" customFormat="1" ht="12.75">
      <c r="A50" s="207"/>
      <c r="B50" s="382" t="s">
        <v>167</v>
      </c>
      <c r="C50" s="208"/>
      <c r="D50" s="209"/>
      <c r="E50" s="210"/>
      <c r="F50" s="46"/>
      <c r="H50" s="46"/>
      <c r="I50" s="46"/>
      <c r="J50" s="46"/>
      <c r="K50" s="46"/>
    </row>
    <row r="51" spans="1:11" s="213" customFormat="1" ht="26.25" customHeight="1">
      <c r="A51" s="476" t="s">
        <v>48</v>
      </c>
      <c r="B51" s="373"/>
      <c r="C51" s="204"/>
      <c r="D51" s="205"/>
      <c r="E51" s="206"/>
      <c r="F51" s="46"/>
      <c r="G51" s="46"/>
      <c r="H51" s="46"/>
      <c r="I51" s="46"/>
      <c r="J51" s="46"/>
      <c r="K51" s="46"/>
    </row>
    <row r="52" spans="1:11" s="2" customFormat="1" ht="12.75">
      <c r="A52" s="212"/>
      <c r="B52" s="372"/>
      <c r="C52" s="208"/>
      <c r="D52" s="209"/>
      <c r="E52" s="210"/>
      <c r="F52"/>
      <c r="H52"/>
      <c r="I52"/>
      <c r="J52"/>
      <c r="K52"/>
    </row>
    <row r="53" spans="1:11" s="213" customFormat="1" ht="12.75">
      <c r="A53" s="203">
        <v>1</v>
      </c>
      <c r="B53" s="429" t="s">
        <v>168</v>
      </c>
      <c r="C53" s="215">
        <v>3</v>
      </c>
      <c r="D53" s="216">
        <v>3</v>
      </c>
      <c r="E53" s="206">
        <f>C53*D53</f>
        <v>9</v>
      </c>
      <c r="F53" s="46"/>
      <c r="H53" s="46"/>
      <c r="I53" s="46"/>
      <c r="J53" s="46"/>
      <c r="K53" s="46"/>
    </row>
    <row r="54" spans="1:5" ht="12.75">
      <c r="A54" s="207"/>
      <c r="B54" s="382" t="s">
        <v>17</v>
      </c>
      <c r="C54" s="208"/>
      <c r="D54" s="209"/>
      <c r="E54" s="210"/>
    </row>
    <row r="55" spans="1:5" ht="24">
      <c r="A55" s="203">
        <f>A53+1</f>
        <v>2</v>
      </c>
      <c r="B55" s="429" t="s">
        <v>169</v>
      </c>
      <c r="C55" s="215">
        <v>3</v>
      </c>
      <c r="D55" s="216">
        <v>3</v>
      </c>
      <c r="E55" s="206">
        <f>C55*D55</f>
        <v>9</v>
      </c>
    </row>
    <row r="56" spans="1:5" s="46" customFormat="1" ht="12.75">
      <c r="A56" s="214"/>
      <c r="B56" s="383" t="s">
        <v>170</v>
      </c>
      <c r="C56" s="208"/>
      <c r="D56" s="209"/>
      <c r="E56" s="210"/>
    </row>
    <row r="57" spans="1:9" s="2" customFormat="1" ht="36">
      <c r="A57" s="203">
        <f>A55+1</f>
        <v>3</v>
      </c>
      <c r="B57" s="429" t="s">
        <v>171</v>
      </c>
      <c r="C57" s="215">
        <v>3</v>
      </c>
      <c r="D57" s="216">
        <v>3</v>
      </c>
      <c r="E57" s="206">
        <f>C57*D57</f>
        <v>9</v>
      </c>
      <c r="G57" s="399">
        <v>1</v>
      </c>
      <c r="H57" s="400" t="str">
        <f aca="true" t="shared" si="4" ref="H57:H73">INDEX(B$53:B$86,MATCH(G57,A$53:A$86,0))</f>
        <v>Arrêter l'installation de chauffage la nuit et le week-end</v>
      </c>
      <c r="I57" s="400"/>
    </row>
    <row r="58" spans="1:9" s="213" customFormat="1" ht="12.75">
      <c r="A58" s="207"/>
      <c r="B58" s="383" t="s">
        <v>172</v>
      </c>
      <c r="C58" s="208"/>
      <c r="D58" s="209"/>
      <c r="E58" s="210"/>
      <c r="G58" s="401">
        <f>G57+1</f>
        <v>2</v>
      </c>
      <c r="H58" s="400" t="str">
        <f t="shared" si="4"/>
        <v>Pratiquer un ralenti par coupure complète de l'installation, contrôlée par thermostat d'ambiance</v>
      </c>
      <c r="I58" s="400"/>
    </row>
    <row r="59" spans="1:11" s="2" customFormat="1" ht="12.75">
      <c r="A59" s="203">
        <f>A57+1</f>
        <v>4</v>
      </c>
      <c r="B59" s="223" t="s">
        <v>97</v>
      </c>
      <c r="C59" s="215">
        <v>3</v>
      </c>
      <c r="D59" s="216">
        <v>3</v>
      </c>
      <c r="E59" s="206">
        <f>C59*D59</f>
        <v>9</v>
      </c>
      <c r="F59"/>
      <c r="G59" s="401">
        <f aca="true" t="shared" si="5" ref="G59:G73">G58+1</f>
        <v>3</v>
      </c>
      <c r="H59" s="400" t="str">
        <f t="shared" si="4"/>
        <v>Remplacer l'horloge afin de pouvoir programmer le fonctionnement de l'installation conformément à l'utilisation du bâtiment (en fonction du jour de la semaine, des jours de congé,…)</v>
      </c>
      <c r="I59" s="400"/>
      <c r="J59"/>
      <c r="K59"/>
    </row>
    <row r="60" spans="1:11" s="213" customFormat="1" ht="12.75">
      <c r="A60" s="214"/>
      <c r="B60" s="382" t="s">
        <v>173</v>
      </c>
      <c r="C60" s="208"/>
      <c r="D60" s="209"/>
      <c r="E60" s="210"/>
      <c r="F60" s="46"/>
      <c r="G60" s="401">
        <f t="shared" si="5"/>
        <v>4</v>
      </c>
      <c r="H60" s="400" t="str">
        <f t="shared" si="4"/>
        <v>Arrêter les circulateurs lorsqu'il n'y a pas de besoin de chauffage </v>
      </c>
      <c r="I60" s="400"/>
      <c r="J60" s="46"/>
      <c r="K60" s="46"/>
    </row>
    <row r="61" spans="1:9" s="2" customFormat="1" ht="25.5">
      <c r="A61" s="203">
        <f>A59+1</f>
        <v>5</v>
      </c>
      <c r="B61" s="223" t="s">
        <v>124</v>
      </c>
      <c r="C61" s="215">
        <v>2</v>
      </c>
      <c r="D61" s="216">
        <v>3</v>
      </c>
      <c r="E61" s="206">
        <f>C61*D61</f>
        <v>6</v>
      </c>
      <c r="G61" s="401">
        <f t="shared" si="5"/>
        <v>5</v>
      </c>
      <c r="H61" s="400" t="str">
        <f t="shared" si="4"/>
        <v>Vérifier les paramètres de régulation de la chaudière à condensation pour permettre la condensation (l'eau arrive froide à la chaudière) </v>
      </c>
      <c r="I61" s="400"/>
    </row>
    <row r="62" spans="1:9" s="213" customFormat="1" ht="12.75">
      <c r="A62" s="207"/>
      <c r="B62" s="382" t="s">
        <v>174</v>
      </c>
      <c r="C62" s="208"/>
      <c r="D62" s="209"/>
      <c r="E62" s="210"/>
      <c r="G62" s="401">
        <f t="shared" si="5"/>
        <v>6</v>
      </c>
      <c r="H62" s="400" t="str">
        <f t="shared" si="4"/>
        <v>Placer un thermostat d'ambiance de compensation</v>
      </c>
      <c r="I62" s="400"/>
    </row>
    <row r="63" spans="1:11" s="2" customFormat="1" ht="12.75">
      <c r="A63" s="203">
        <f>A61+1</f>
        <v>6</v>
      </c>
      <c r="B63" s="429" t="s">
        <v>175</v>
      </c>
      <c r="C63" s="215">
        <v>2</v>
      </c>
      <c r="D63" s="216">
        <v>3</v>
      </c>
      <c r="E63" s="206">
        <f>C63*D63</f>
        <v>6</v>
      </c>
      <c r="F63"/>
      <c r="G63" s="401">
        <f t="shared" si="5"/>
        <v>7</v>
      </c>
      <c r="H63" s="400" t="str">
        <f t="shared" si="4"/>
        <v>Adapter les horaires de la régulation aux horaires d'occupation réels du bâtiment</v>
      </c>
      <c r="I63" s="400"/>
      <c r="J63"/>
      <c r="K63"/>
    </row>
    <row r="64" spans="1:11" s="213" customFormat="1" ht="12.75">
      <c r="A64" s="214"/>
      <c r="B64" s="430" t="s">
        <v>176</v>
      </c>
      <c r="C64" s="208"/>
      <c r="D64" s="209"/>
      <c r="E64" s="210"/>
      <c r="F64" s="46"/>
      <c r="G64" s="401">
        <f t="shared" si="5"/>
        <v>8</v>
      </c>
      <c r="H64" s="400" t="str">
        <f t="shared" si="4"/>
        <v>Equiper les différents circuits d'une régulation indépendante.</v>
      </c>
      <c r="I64" s="400"/>
      <c r="J64" s="46"/>
      <c r="K64" s="46"/>
    </row>
    <row r="65" spans="1:9" s="2" customFormat="1" ht="12.75">
      <c r="A65" s="203">
        <f>A63+1</f>
        <v>7</v>
      </c>
      <c r="B65" s="223" t="s">
        <v>98</v>
      </c>
      <c r="C65" s="215">
        <v>2</v>
      </c>
      <c r="D65" s="216">
        <v>3</v>
      </c>
      <c r="E65" s="206">
        <f>C65*D65</f>
        <v>6</v>
      </c>
      <c r="G65" s="401">
        <f t="shared" si="5"/>
        <v>9</v>
      </c>
      <c r="H65" s="400" t="str">
        <f t="shared" si="4"/>
        <v>Corriger le réglage des courbes de chauffe </v>
      </c>
      <c r="I65" s="400"/>
    </row>
    <row r="66" spans="1:9" s="213" customFormat="1" ht="12.75">
      <c r="A66" s="214"/>
      <c r="B66" s="382" t="s">
        <v>177</v>
      </c>
      <c r="C66" s="208"/>
      <c r="D66" s="209"/>
      <c r="E66" s="210"/>
      <c r="G66" s="401">
        <f t="shared" si="5"/>
        <v>10</v>
      </c>
      <c r="H66" s="400" t="str">
        <f t="shared" si="4"/>
        <v>Placer des vannes thermostatiques dans les locaux où il y a surchauffe</v>
      </c>
      <c r="I66" s="400"/>
    </row>
    <row r="67" spans="1:9" s="2" customFormat="1" ht="12.75">
      <c r="A67" s="203">
        <f>A65+1</f>
        <v>8</v>
      </c>
      <c r="B67" s="223" t="s">
        <v>69</v>
      </c>
      <c r="C67" s="215">
        <v>2</v>
      </c>
      <c r="D67" s="216">
        <v>3</v>
      </c>
      <c r="E67" s="206">
        <f>C67*D67</f>
        <v>6</v>
      </c>
      <c r="G67" s="401">
        <f t="shared" si="5"/>
        <v>11</v>
      </c>
      <c r="H67" s="400" t="str">
        <f t="shared" si="4"/>
        <v>Contrôler les brûleurs plusieurs fois par an</v>
      </c>
      <c r="I67" s="400"/>
    </row>
    <row r="68" spans="1:9" s="213" customFormat="1" ht="12.75">
      <c r="A68" s="207"/>
      <c r="B68" s="430" t="s">
        <v>176</v>
      </c>
      <c r="C68" s="208"/>
      <c r="D68" s="209"/>
      <c r="E68" s="210"/>
      <c r="G68" s="401">
        <f t="shared" si="5"/>
        <v>12</v>
      </c>
      <c r="H68" s="400" t="str">
        <f t="shared" si="4"/>
        <v>Réguler l'aquastat pour qu'en été, en dehors des périodes de préparation de l'eau chaude sanitaire, la température de la chaudière retombe à 20°C</v>
      </c>
      <c r="I68" s="400"/>
    </row>
    <row r="69" spans="1:9" s="37" customFormat="1" ht="12.75">
      <c r="A69" s="203">
        <f>A67+1</f>
        <v>9</v>
      </c>
      <c r="B69" s="429" t="s">
        <v>178</v>
      </c>
      <c r="C69" s="215">
        <v>2</v>
      </c>
      <c r="D69" s="216">
        <v>3</v>
      </c>
      <c r="E69" s="206">
        <f>C69*D69</f>
        <v>6</v>
      </c>
      <c r="G69" s="401">
        <f t="shared" si="5"/>
        <v>13</v>
      </c>
      <c r="H69" s="400" t="str">
        <f t="shared" si="4"/>
        <v>Arrêter la chaudière en été</v>
      </c>
      <c r="I69" s="400"/>
    </row>
    <row r="70" spans="1:9" s="37" customFormat="1" ht="12.75">
      <c r="A70" s="207"/>
      <c r="B70" s="430" t="s">
        <v>176</v>
      </c>
      <c r="C70" s="208"/>
      <c r="D70" s="209"/>
      <c r="E70" s="210"/>
      <c r="G70" s="401">
        <f t="shared" si="5"/>
        <v>14</v>
      </c>
      <c r="H70" s="400" t="str">
        <f t="shared" si="4"/>
        <v>Améliorer la régulation en cascade</v>
      </c>
      <c r="I70" s="400"/>
    </row>
    <row r="71" spans="1:11" s="2" customFormat="1" ht="12.75">
      <c r="A71" s="203">
        <f>A69+1</f>
        <v>10</v>
      </c>
      <c r="B71" s="223" t="s">
        <v>111</v>
      </c>
      <c r="C71" s="215">
        <v>2</v>
      </c>
      <c r="D71" s="216">
        <v>2</v>
      </c>
      <c r="E71" s="206">
        <f>C71*D71</f>
        <v>4</v>
      </c>
      <c r="F71"/>
      <c r="G71" s="401">
        <f t="shared" si="5"/>
        <v>15</v>
      </c>
      <c r="H71" s="400" t="str">
        <f t="shared" si="4"/>
        <v>Mettre une chaudière à l'arrêt</v>
      </c>
      <c r="I71" s="400"/>
      <c r="J71"/>
      <c r="K71"/>
    </row>
    <row r="72" spans="1:11" s="213" customFormat="1" ht="12.75">
      <c r="A72" s="207"/>
      <c r="B72" s="430" t="s">
        <v>176</v>
      </c>
      <c r="C72" s="208"/>
      <c r="D72" s="209"/>
      <c r="E72" s="210"/>
      <c r="F72" s="46"/>
      <c r="G72" s="401">
        <f t="shared" si="5"/>
        <v>16</v>
      </c>
      <c r="H72" s="400" t="str">
        <f t="shared" si="4"/>
        <v>Remplacer le vase d'expansion</v>
      </c>
      <c r="I72" s="400"/>
      <c r="J72" s="46"/>
      <c r="K72" s="46"/>
    </row>
    <row r="73" spans="1:9" s="2" customFormat="1" ht="12.75">
      <c r="A73" s="203">
        <f>A71+1</f>
        <v>11</v>
      </c>
      <c r="B73" s="223" t="s">
        <v>80</v>
      </c>
      <c r="C73" s="204">
        <v>1</v>
      </c>
      <c r="D73" s="205">
        <v>3</v>
      </c>
      <c r="E73" s="206">
        <f>C73*D73</f>
        <v>3</v>
      </c>
      <c r="G73" s="401">
        <f t="shared" si="5"/>
        <v>17</v>
      </c>
      <c r="H73" s="400" t="str">
        <f t="shared" si="4"/>
        <v>Chercher la cause de l'insuffisance d'eau, l'origine de la fuite</v>
      </c>
      <c r="I73" s="400"/>
    </row>
    <row r="74" spans="1:9" s="213" customFormat="1" ht="12.75">
      <c r="A74" s="214"/>
      <c r="B74" s="382" t="s">
        <v>218</v>
      </c>
      <c r="C74" s="208"/>
      <c r="D74" s="209"/>
      <c r="E74" s="210"/>
      <c r="G74" s="401"/>
      <c r="H74" s="400"/>
      <c r="I74" s="400"/>
    </row>
    <row r="75" spans="1:5" ht="25.5">
      <c r="A75" s="203">
        <f>A73+1</f>
        <v>12</v>
      </c>
      <c r="B75" s="223" t="s">
        <v>14</v>
      </c>
      <c r="C75" s="215">
        <v>1</v>
      </c>
      <c r="D75" s="216">
        <v>3</v>
      </c>
      <c r="E75" s="206">
        <f>C75*D75</f>
        <v>3</v>
      </c>
    </row>
    <row r="76" spans="1:7" s="46" customFormat="1" ht="12.75">
      <c r="A76" s="214"/>
      <c r="B76" s="382" t="s">
        <v>16</v>
      </c>
      <c r="C76" s="286"/>
      <c r="D76" s="209"/>
      <c r="E76" s="210"/>
      <c r="G76" s="401" t="s">
        <v>231</v>
      </c>
    </row>
    <row r="77" spans="1:5" s="2" customFormat="1" ht="12.75">
      <c r="A77" s="203">
        <f>A75+1</f>
        <v>13</v>
      </c>
      <c r="B77" s="223" t="s">
        <v>99</v>
      </c>
      <c r="C77" s="215">
        <v>1</v>
      </c>
      <c r="D77" s="216">
        <v>3</v>
      </c>
      <c r="E77" s="206">
        <f>C77*D77</f>
        <v>3</v>
      </c>
    </row>
    <row r="78" spans="1:7" s="213" customFormat="1" ht="12.75">
      <c r="A78" s="207"/>
      <c r="B78" s="382" t="s">
        <v>16</v>
      </c>
      <c r="C78" s="208"/>
      <c r="D78" s="209"/>
      <c r="E78" s="210"/>
      <c r="G78" s="401" t="s">
        <v>231</v>
      </c>
    </row>
    <row r="79" spans="1:11" s="2" customFormat="1" ht="12.75">
      <c r="A79" s="203">
        <f>A77+1</f>
        <v>14</v>
      </c>
      <c r="B79" s="223" t="s">
        <v>75</v>
      </c>
      <c r="C79" s="215">
        <v>1</v>
      </c>
      <c r="D79" s="216">
        <v>3</v>
      </c>
      <c r="E79" s="206">
        <f>C79*D79</f>
        <v>3</v>
      </c>
      <c r="F79"/>
      <c r="G79"/>
      <c r="H79"/>
      <c r="I79"/>
      <c r="J79"/>
      <c r="K79"/>
    </row>
    <row r="80" spans="1:11" s="213" customFormat="1" ht="12.75">
      <c r="A80" s="214"/>
      <c r="B80" s="382" t="s">
        <v>16</v>
      </c>
      <c r="C80" s="208"/>
      <c r="D80" s="209"/>
      <c r="E80" s="210"/>
      <c r="F80" s="46"/>
      <c r="G80" s="46"/>
      <c r="H80" s="46"/>
      <c r="I80" s="46"/>
      <c r="J80" s="46"/>
      <c r="K80" s="46"/>
    </row>
    <row r="81" spans="1:11" s="2" customFormat="1" ht="12.75">
      <c r="A81" s="203">
        <f>A79+1</f>
        <v>15</v>
      </c>
      <c r="B81" s="429" t="s">
        <v>179</v>
      </c>
      <c r="C81" s="215">
        <v>1</v>
      </c>
      <c r="D81" s="216">
        <v>3</v>
      </c>
      <c r="E81" s="206">
        <f>C81*D81</f>
        <v>3</v>
      </c>
      <c r="F81"/>
      <c r="G81"/>
      <c r="H81"/>
      <c r="I81"/>
      <c r="J81"/>
      <c r="K81"/>
    </row>
    <row r="82" spans="1:11" s="213" customFormat="1" ht="12.75">
      <c r="A82" s="214"/>
      <c r="B82" s="382" t="s">
        <v>16</v>
      </c>
      <c r="C82" s="208"/>
      <c r="D82" s="209"/>
      <c r="E82" s="210"/>
      <c r="F82" s="46"/>
      <c r="G82" s="46"/>
      <c r="H82" s="46"/>
      <c r="I82" s="46"/>
      <c r="J82" s="46"/>
      <c r="K82" s="46"/>
    </row>
    <row r="83" spans="1:11" s="2" customFormat="1" ht="12.75">
      <c r="A83" s="203">
        <f>A81+1</f>
        <v>16</v>
      </c>
      <c r="B83" s="374" t="s">
        <v>112</v>
      </c>
      <c r="C83" s="381" t="s">
        <v>15</v>
      </c>
      <c r="D83" s="216">
        <v>3</v>
      </c>
      <c r="E83" s="206"/>
      <c r="F83"/>
      <c r="G83"/>
      <c r="H83"/>
      <c r="I83"/>
      <c r="J83"/>
      <c r="K83"/>
    </row>
    <row r="84" spans="1:11" s="213" customFormat="1" ht="12.75">
      <c r="A84" s="214"/>
      <c r="B84" s="382" t="s">
        <v>244</v>
      </c>
      <c r="C84" s="208"/>
      <c r="D84" s="209"/>
      <c r="E84" s="210"/>
      <c r="F84" s="46"/>
      <c r="G84" s="46"/>
      <c r="H84" s="46"/>
      <c r="I84" s="46"/>
      <c r="J84" s="46"/>
      <c r="K84" s="46"/>
    </row>
    <row r="85" spans="1:11" s="2" customFormat="1" ht="12.75">
      <c r="A85" s="203">
        <f>A83+1</f>
        <v>17</v>
      </c>
      <c r="B85" s="374" t="s">
        <v>39</v>
      </c>
      <c r="C85" s="381" t="s">
        <v>15</v>
      </c>
      <c r="D85" s="216">
        <v>3</v>
      </c>
      <c r="E85" s="206"/>
      <c r="F85"/>
      <c r="G85"/>
      <c r="H85"/>
      <c r="I85"/>
      <c r="J85"/>
      <c r="K85"/>
    </row>
    <row r="86" spans="1:11" s="213" customFormat="1" ht="22.5">
      <c r="A86" s="214"/>
      <c r="B86" s="382" t="s">
        <v>245</v>
      </c>
      <c r="C86" s="208"/>
      <c r="D86" s="209"/>
      <c r="E86" s="210"/>
      <c r="F86" s="46"/>
      <c r="G86" s="46"/>
      <c r="H86" s="46"/>
      <c r="I86" s="46"/>
      <c r="J86" s="46"/>
      <c r="K86" s="46"/>
    </row>
    <row r="87" ht="12.75">
      <c r="B87" s="319"/>
    </row>
    <row r="88" ht="12.75">
      <c r="B88" s="319"/>
    </row>
    <row r="89" ht="12.75">
      <c r="B89" s="319"/>
    </row>
    <row r="90" ht="12.75">
      <c r="B90" s="319"/>
    </row>
    <row r="91" ht="12.75">
      <c r="B91" s="319"/>
    </row>
    <row r="92" ht="12.75">
      <c r="B92" s="319"/>
    </row>
    <row r="93" ht="12.75">
      <c r="B93" s="319"/>
    </row>
    <row r="94" ht="12.75">
      <c r="B94" s="319"/>
    </row>
    <row r="95" ht="12.75">
      <c r="B95" s="319"/>
    </row>
    <row r="96" ht="12.75">
      <c r="B96" s="319"/>
    </row>
    <row r="97" ht="12.75">
      <c r="B97" s="319"/>
    </row>
    <row r="98" ht="12.75">
      <c r="B98" s="319"/>
    </row>
    <row r="99" ht="12.75">
      <c r="B99" s="319"/>
    </row>
    <row r="100" ht="12.75">
      <c r="B100" s="319"/>
    </row>
    <row r="101" ht="12.75">
      <c r="B101" s="319"/>
    </row>
    <row r="102" ht="12.75">
      <c r="B102" s="319"/>
    </row>
    <row r="103" ht="12.75">
      <c r="B103" s="319"/>
    </row>
    <row r="104" ht="12.75">
      <c r="B104" s="319"/>
    </row>
    <row r="105" ht="12.75">
      <c r="B105" s="319"/>
    </row>
    <row r="106" ht="12.75">
      <c r="B106" s="319"/>
    </row>
    <row r="107" ht="12.75">
      <c r="B107" s="319"/>
    </row>
    <row r="108" ht="12.75">
      <c r="B108" s="319"/>
    </row>
    <row r="109" ht="12.75">
      <c r="B109" s="319"/>
    </row>
    <row r="110" ht="12.75">
      <c r="B110" s="319"/>
    </row>
    <row r="111" ht="12.75">
      <c r="B111" s="319"/>
    </row>
    <row r="112" ht="12.75">
      <c r="B112" s="319"/>
    </row>
    <row r="113" ht="12.75">
      <c r="B113" s="319"/>
    </row>
    <row r="114" ht="12.75">
      <c r="B114" s="319"/>
    </row>
    <row r="115" ht="12.75">
      <c r="B115" s="319"/>
    </row>
    <row r="116" ht="12.75">
      <c r="B116" s="319"/>
    </row>
    <row r="117" ht="12.75">
      <c r="B117" s="319"/>
    </row>
    <row r="118" ht="12.75">
      <c r="B118" s="319"/>
    </row>
    <row r="119" ht="12.75">
      <c r="B119" s="319"/>
    </row>
    <row r="120" ht="12.75">
      <c r="B120" s="319"/>
    </row>
    <row r="121" ht="12.75">
      <c r="B121" s="319"/>
    </row>
    <row r="122" ht="12.75">
      <c r="B122" s="319"/>
    </row>
    <row r="123" ht="12.75">
      <c r="B123" s="319"/>
    </row>
    <row r="124" ht="12.75">
      <c r="B124" s="319"/>
    </row>
    <row r="125" ht="12.75">
      <c r="B125" s="319"/>
    </row>
    <row r="126" ht="12.75">
      <c r="B126" s="319"/>
    </row>
    <row r="127" ht="12.75">
      <c r="B127" s="319"/>
    </row>
    <row r="128" ht="12.75">
      <c r="B128" s="319"/>
    </row>
    <row r="129" ht="12.75">
      <c r="B129" s="319"/>
    </row>
    <row r="130" ht="12.75">
      <c r="B130" s="319"/>
    </row>
    <row r="131" ht="12.75">
      <c r="B131" s="319"/>
    </row>
    <row r="132" ht="12.75">
      <c r="B132" s="319"/>
    </row>
    <row r="133" ht="12.75">
      <c r="B133" s="319"/>
    </row>
    <row r="134" ht="12.75">
      <c r="B134" s="319"/>
    </row>
    <row r="135" ht="12.75">
      <c r="B135" s="319"/>
    </row>
    <row r="136" ht="12.75">
      <c r="B136" s="319"/>
    </row>
    <row r="137" ht="12.75">
      <c r="B137" s="319"/>
    </row>
    <row r="138" ht="12.75">
      <c r="B138" s="319"/>
    </row>
    <row r="139" ht="12.75">
      <c r="B139" s="319"/>
    </row>
    <row r="140" ht="12.75">
      <c r="B140" s="319"/>
    </row>
    <row r="141" ht="12.75">
      <c r="B141" s="319"/>
    </row>
    <row r="142" ht="12.75">
      <c r="B142" s="319"/>
    </row>
    <row r="143" ht="12.75">
      <c r="B143" s="319"/>
    </row>
    <row r="144" ht="12.75">
      <c r="B144" s="319"/>
    </row>
    <row r="145" ht="12.75">
      <c r="B145" s="319"/>
    </row>
    <row r="146" ht="12.75">
      <c r="B146" s="319"/>
    </row>
    <row r="147" ht="12.75">
      <c r="B147" s="319"/>
    </row>
    <row r="148" ht="12.75">
      <c r="B148" s="319"/>
    </row>
    <row r="149" ht="12.75">
      <c r="B149" s="319"/>
    </row>
    <row r="150" ht="12.75">
      <c r="B150" s="319"/>
    </row>
    <row r="151" ht="12.75">
      <c r="B151" s="319"/>
    </row>
    <row r="152" ht="12.75">
      <c r="B152" s="319"/>
    </row>
    <row r="153" ht="12.75">
      <c r="B153" s="319"/>
    </row>
    <row r="154" ht="12.75">
      <c r="B154" s="319"/>
    </row>
    <row r="155" ht="12.75">
      <c r="B155" s="319"/>
    </row>
    <row r="156" ht="12.75">
      <c r="B156" s="319"/>
    </row>
    <row r="157" ht="12.75">
      <c r="B157" s="319"/>
    </row>
    <row r="158" ht="12.75">
      <c r="B158" s="319"/>
    </row>
    <row r="159" ht="12.75">
      <c r="B159" s="319"/>
    </row>
    <row r="160" ht="12.75">
      <c r="B160" s="319"/>
    </row>
    <row r="161" ht="12.75">
      <c r="B161" s="319"/>
    </row>
    <row r="162" ht="12.75">
      <c r="B162" s="319"/>
    </row>
    <row r="163" ht="12.75">
      <c r="B163" s="319"/>
    </row>
    <row r="164" ht="12.75">
      <c r="B164" s="319"/>
    </row>
    <row r="165" ht="12.75">
      <c r="B165" s="319"/>
    </row>
    <row r="166" ht="12.75">
      <c r="B166" s="319"/>
    </row>
    <row r="167" ht="12.75">
      <c r="B167" s="319"/>
    </row>
    <row r="168" ht="12.75">
      <c r="B168" s="319"/>
    </row>
    <row r="169" ht="12.75">
      <c r="B169" s="319"/>
    </row>
    <row r="170" ht="12.75">
      <c r="B170" s="319"/>
    </row>
    <row r="171" ht="12.75">
      <c r="B171" s="319"/>
    </row>
    <row r="172" ht="12.75">
      <c r="B172" s="319"/>
    </row>
    <row r="173" ht="12.75">
      <c r="B173" s="319"/>
    </row>
    <row r="174" ht="12.75">
      <c r="B174" s="319"/>
    </row>
    <row r="175" ht="12.75">
      <c r="B175" s="319"/>
    </row>
    <row r="176" ht="12.75">
      <c r="B176" s="319"/>
    </row>
    <row r="177" ht="12.75">
      <c r="B177" s="319"/>
    </row>
    <row r="178" ht="12.75">
      <c r="B178" s="319"/>
    </row>
    <row r="179" ht="12.75">
      <c r="B179" s="319"/>
    </row>
    <row r="180" ht="12.75">
      <c r="B180" s="319"/>
    </row>
    <row r="181" ht="12.75">
      <c r="B181" s="319"/>
    </row>
    <row r="182" ht="12.75">
      <c r="B182" s="319"/>
    </row>
    <row r="183" ht="12.75">
      <c r="B183" s="319"/>
    </row>
    <row r="184" ht="12.75">
      <c r="B184" s="319"/>
    </row>
    <row r="185" ht="12.75">
      <c r="B185" s="319"/>
    </row>
    <row r="186" ht="12.75">
      <c r="B186" s="319"/>
    </row>
    <row r="187" ht="12.75">
      <c r="B187" s="319"/>
    </row>
    <row r="188" ht="12.75">
      <c r="B188" s="319"/>
    </row>
    <row r="189" ht="12.75">
      <c r="B189" s="319"/>
    </row>
    <row r="190" ht="12.75">
      <c r="B190" s="319"/>
    </row>
    <row r="191" ht="12.75">
      <c r="B191" s="319"/>
    </row>
    <row r="192" ht="12.75">
      <c r="B192" s="319"/>
    </row>
    <row r="193" ht="12.75">
      <c r="B193" s="319"/>
    </row>
    <row r="194" ht="12.75">
      <c r="B194" s="319"/>
    </row>
    <row r="195" ht="12.75">
      <c r="B195" s="319"/>
    </row>
    <row r="196" ht="12.75">
      <c r="B196" s="319"/>
    </row>
    <row r="197" ht="12.75">
      <c r="B197" s="319"/>
    </row>
    <row r="198" ht="12.75">
      <c r="B198" s="319"/>
    </row>
    <row r="199" ht="12.75">
      <c r="B199" s="319"/>
    </row>
    <row r="200" ht="12.75">
      <c r="B200" s="319"/>
    </row>
    <row r="201" ht="12.75">
      <c r="B201" s="319"/>
    </row>
    <row r="202" ht="12.75">
      <c r="B202" s="319"/>
    </row>
    <row r="203" ht="12.75">
      <c r="B203" s="319"/>
    </row>
    <row r="204" ht="12.75">
      <c r="B204" s="319"/>
    </row>
    <row r="205" ht="12.75">
      <c r="B205" s="319"/>
    </row>
    <row r="206" ht="12.75">
      <c r="B206" s="319"/>
    </row>
    <row r="207" ht="12.75">
      <c r="B207" s="319"/>
    </row>
    <row r="208" ht="12.75">
      <c r="B208" s="319"/>
    </row>
    <row r="209" ht="12.75">
      <c r="B209" s="319"/>
    </row>
    <row r="210" ht="12.75">
      <c r="B210" s="319"/>
    </row>
    <row r="211" ht="12.75">
      <c r="B211" s="319"/>
    </row>
    <row r="212" ht="12.75">
      <c r="B212" s="319"/>
    </row>
    <row r="213" ht="12.75">
      <c r="B213" s="319"/>
    </row>
    <row r="214" ht="12.75">
      <c r="B214" s="319"/>
    </row>
    <row r="215" ht="12.75">
      <c r="B215" s="319"/>
    </row>
    <row r="216" ht="12.75">
      <c r="B216" s="319"/>
    </row>
    <row r="217" ht="12.75">
      <c r="B217" s="319"/>
    </row>
    <row r="218" ht="12.75">
      <c r="B218" s="319"/>
    </row>
    <row r="219" ht="12.75">
      <c r="B219" s="319"/>
    </row>
    <row r="220" ht="12.75">
      <c r="B220" s="319"/>
    </row>
    <row r="221" ht="12.75">
      <c r="B221" s="319"/>
    </row>
    <row r="222" ht="12.75">
      <c r="B222" s="319"/>
    </row>
    <row r="223" ht="12.75">
      <c r="B223" s="319"/>
    </row>
    <row r="224" ht="12.75">
      <c r="B224" s="319"/>
    </row>
    <row r="225" ht="12.75">
      <c r="B225" s="319"/>
    </row>
    <row r="226" ht="12.75">
      <c r="B226" s="319"/>
    </row>
    <row r="227" ht="12.75">
      <c r="B227" s="319"/>
    </row>
    <row r="228" ht="12.75">
      <c r="B228" s="319"/>
    </row>
    <row r="229" ht="12.75">
      <c r="B229" s="319"/>
    </row>
    <row r="230" ht="12.75">
      <c r="B230" s="319"/>
    </row>
    <row r="231" ht="12.75">
      <c r="B231" s="319"/>
    </row>
    <row r="232" ht="12.75">
      <c r="B232" s="319"/>
    </row>
    <row r="233" ht="12.75">
      <c r="B233" s="319"/>
    </row>
    <row r="234" ht="12.75">
      <c r="B234" s="319"/>
    </row>
    <row r="235" ht="12.75">
      <c r="B235" s="319"/>
    </row>
    <row r="236" ht="12.75">
      <c r="B236" s="319"/>
    </row>
    <row r="237" ht="12.75">
      <c r="B237" s="319"/>
    </row>
    <row r="238" ht="12.75">
      <c r="B238" s="319"/>
    </row>
    <row r="239" ht="12.75">
      <c r="B239" s="319"/>
    </row>
    <row r="240" ht="12.75">
      <c r="B240" s="319"/>
    </row>
    <row r="241" ht="12.75">
      <c r="B241" s="319"/>
    </row>
    <row r="242" ht="12.75">
      <c r="B242" s="319"/>
    </row>
    <row r="243" ht="12.75">
      <c r="B243" s="319"/>
    </row>
    <row r="244" ht="12.75">
      <c r="B244" s="319"/>
    </row>
    <row r="245" ht="12.75">
      <c r="B245" s="319"/>
    </row>
    <row r="246" ht="12.75">
      <c r="B246" s="319"/>
    </row>
    <row r="247" ht="12.75">
      <c r="B247" s="319"/>
    </row>
  </sheetData>
  <mergeCells count="3">
    <mergeCell ref="C3:C5"/>
    <mergeCell ref="D3:D5"/>
    <mergeCell ref="E3:E5"/>
  </mergeCells>
  <printOptions/>
  <pageMargins left="0.75" right="0.75" top="0.89" bottom="1" header="0.4921259845" footer="0.4921259845"/>
  <pageSetup fitToHeight="0" fitToWidth="1" horizontalDpi="355" verticalDpi="355" orientation="portrait" paperSize="9" scale="92" r:id="rId2"/>
  <headerFooter alignWithMargins="0">
    <oddHeader>&amp;R&amp;B</oddHeader>
    <oddFooter>&amp;L&amp;9Check-list d'audit - améliorations&amp;C&amp;8CHAUFFAGE DES BATIMENTS CLIMATISES&amp;R&amp;9Page &amp;P/&amp;N</oddFooter>
  </headerFooter>
  <rowBreaks count="1" manualBreakCount="1">
    <brk id="50" max="4" man="1"/>
  </rowBreaks>
  <colBreaks count="1" manualBreakCount="1">
    <brk id="4" max="88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Q534"/>
  <sheetViews>
    <sheetView showGridLines="0" workbookViewId="0" topLeftCell="A3">
      <pane xSplit="14250" ySplit="1050" topLeftCell="Q1" activePane="bottomLeft" state="split"/>
      <selection pane="topLeft" activeCell="O3" sqref="O1:P16384"/>
      <selection pane="topRight" activeCell="M154" sqref="M1:N16384"/>
      <selection pane="bottomLeft" activeCell="G184" sqref="G184:N190"/>
      <selection pane="bottomRight" activeCell="L88" sqref="L88"/>
    </sheetView>
  </sheetViews>
  <sheetFormatPr defaultColWidth="11.421875" defaultRowHeight="12.75"/>
  <cols>
    <col min="1" max="1" width="5.421875" style="325" customWidth="1"/>
    <col min="2" max="2" width="0.85546875" style="2" customWidth="1"/>
    <col min="3" max="3" width="2.28125" style="2" customWidth="1"/>
    <col min="4" max="4" width="64.7109375" style="2" customWidth="1"/>
    <col min="5" max="5" width="1.7109375" style="14" customWidth="1"/>
    <col min="6" max="6" width="4.7109375" style="274" customWidth="1"/>
    <col min="7" max="7" width="49.28125" style="247" customWidth="1"/>
    <col min="8" max="9" width="0.85546875" style="0" customWidth="1"/>
    <col min="10" max="10" width="1.28515625" style="0" customWidth="1"/>
    <col min="11" max="11" width="8.7109375" style="321" customWidth="1"/>
    <col min="12" max="12" width="11.421875" style="434" customWidth="1"/>
    <col min="13" max="13" width="11.421875" style="458" customWidth="1"/>
    <col min="14" max="14" width="11.421875" style="457" customWidth="1"/>
    <col min="15" max="15" width="4.28125" style="245" hidden="1" customWidth="1"/>
    <col min="16" max="16" width="0" style="80" hidden="1" customWidth="1"/>
  </cols>
  <sheetData>
    <row r="1" spans="1:16" s="14" customFormat="1" ht="19.5">
      <c r="A1" s="325"/>
      <c r="B1" s="283" t="s">
        <v>7</v>
      </c>
      <c r="C1" s="284"/>
      <c r="D1" s="284"/>
      <c r="E1" s="284"/>
      <c r="F1" s="285"/>
      <c r="G1" s="284"/>
      <c r="H1" s="284"/>
      <c r="K1" s="320"/>
      <c r="L1" s="435"/>
      <c r="M1" s="453"/>
      <c r="N1" s="454"/>
      <c r="O1" s="245"/>
      <c r="P1" s="80"/>
    </row>
    <row r="2" spans="4:14" ht="13.5" thickBot="1">
      <c r="D2" s="326"/>
      <c r="F2" s="287"/>
      <c r="M2" s="455" t="s">
        <v>223</v>
      </c>
      <c r="N2" s="456"/>
    </row>
    <row r="3" spans="2:14" ht="18.75" thickBot="1">
      <c r="B3" s="327" t="s">
        <v>8</v>
      </c>
      <c r="C3" s="328"/>
      <c r="D3" s="329"/>
      <c r="F3" s="274" t="s">
        <v>87</v>
      </c>
      <c r="H3" s="4"/>
      <c r="I3" s="4"/>
      <c r="J3" s="4"/>
      <c r="K3" s="322" t="s">
        <v>115</v>
      </c>
      <c r="L3" s="437" t="s">
        <v>190</v>
      </c>
      <c r="M3" s="457" t="s">
        <v>225</v>
      </c>
      <c r="N3" s="457" t="s">
        <v>226</v>
      </c>
    </row>
    <row r="4" spans="8:16" ht="13.5" thickBot="1">
      <c r="H4" s="4"/>
      <c r="I4" s="4"/>
      <c r="J4" s="4"/>
      <c r="K4" s="305"/>
      <c r="O4" s="257" t="s">
        <v>91</v>
      </c>
      <c r="P4" s="258"/>
    </row>
    <row r="5" spans="1:16" s="4" customFormat="1" ht="12.75">
      <c r="A5" s="330"/>
      <c r="B5" s="331"/>
      <c r="C5" s="332"/>
      <c r="D5" s="332"/>
      <c r="E5" s="233"/>
      <c r="F5" s="275"/>
      <c r="G5" s="248"/>
      <c r="H5" s="23"/>
      <c r="I5" s="24"/>
      <c r="K5" s="305"/>
      <c r="L5" s="436"/>
      <c r="M5" s="459"/>
      <c r="N5" s="460"/>
      <c r="O5" s="259"/>
      <c r="P5" s="242"/>
    </row>
    <row r="6" spans="1:16" ht="12.75">
      <c r="A6" s="325">
        <v>0</v>
      </c>
      <c r="B6" s="333"/>
      <c r="C6" s="104" t="s">
        <v>101</v>
      </c>
      <c r="D6" s="104"/>
      <c r="E6" s="113"/>
      <c r="F6" s="276">
        <v>1</v>
      </c>
      <c r="G6" s="249" t="str">
        <f>INDEX(Ameliorations_rendement_chaudiere,F6)</f>
        <v>Remplacer la chaudière et le brûleur</v>
      </c>
      <c r="H6" s="4"/>
      <c r="I6" s="26"/>
      <c r="K6" s="321">
        <v>0</v>
      </c>
      <c r="L6" s="433">
        <f>IF(K6=2,questionnaire!S13,IF(K6=3,0.05,0))</f>
        <v>0</v>
      </c>
      <c r="M6" s="461">
        <f>IF(K6=0,0,1)</f>
        <v>0</v>
      </c>
      <c r="N6" s="462">
        <f>IF(AND(K6=2,L6=0),1,0)</f>
        <v>0</v>
      </c>
      <c r="O6" s="259">
        <v>1</v>
      </c>
      <c r="P6" s="242" t="str">
        <f aca="true" t="shared" si="0" ref="P6:P18">INDEX(Ameliorations_rendement_chaudiere,O6)</f>
        <v>Remplacer la chaudière et le brûleur</v>
      </c>
    </row>
    <row r="7" spans="2:16" ht="13.5" thickBot="1">
      <c r="B7" s="334"/>
      <c r="C7" s="335"/>
      <c r="D7" s="335"/>
      <c r="E7" s="234"/>
      <c r="F7" s="277"/>
      <c r="G7" s="250"/>
      <c r="H7" s="28"/>
      <c r="I7" s="29"/>
      <c r="N7" s="462"/>
      <c r="O7" s="259">
        <f aca="true" t="shared" si="1" ref="O7:O12">O6+1</f>
        <v>2</v>
      </c>
      <c r="P7" s="242" t="str">
        <f t="shared" si="0"/>
        <v>Remplacer le brûleur </v>
      </c>
    </row>
    <row r="8" spans="6:16" ht="13.5" thickBot="1">
      <c r="F8" s="276"/>
      <c r="G8" s="251"/>
      <c r="N8" s="462"/>
      <c r="O8" s="259">
        <f t="shared" si="1"/>
        <v>3</v>
      </c>
      <c r="P8" s="242" t="str">
        <f t="shared" si="0"/>
        <v>Régler le régulateur de tirage</v>
      </c>
    </row>
    <row r="9" spans="2:16" ht="12.75">
      <c r="B9" s="331"/>
      <c r="C9" s="332"/>
      <c r="D9" s="332"/>
      <c r="E9" s="233"/>
      <c r="F9" s="275" t="s">
        <v>216</v>
      </c>
      <c r="G9" s="252"/>
      <c r="H9" s="23"/>
      <c r="I9" s="24"/>
      <c r="N9" s="462"/>
      <c r="O9" s="259">
        <f t="shared" si="1"/>
        <v>4</v>
      </c>
      <c r="P9" s="242" t="str">
        <f t="shared" si="0"/>
        <v>Placer un régulateur de tirage </v>
      </c>
    </row>
    <row r="10" spans="1:16" s="14" customFormat="1" ht="21" customHeight="1">
      <c r="A10" s="325">
        <f>+A6+1</f>
        <v>1</v>
      </c>
      <c r="B10" s="333"/>
      <c r="C10" s="104" t="s">
        <v>43</v>
      </c>
      <c r="D10" s="109"/>
      <c r="E10" s="113"/>
      <c r="F10" s="276">
        <v>7</v>
      </c>
      <c r="G10" s="249" t="str">
        <f>INDEX(Ameliorations_rendement_chaudiere,F10)</f>
        <v>Améliorer le réglage du brûleur : Régler le registre d'air et la tête de combustion</v>
      </c>
      <c r="H10" s="113"/>
      <c r="I10" s="114"/>
      <c r="K10" s="320">
        <v>0</v>
      </c>
      <c r="L10" s="433">
        <f>IF(K10=2,questionnaire!S21,IF(K10=3,0.05,0))</f>
        <v>0</v>
      </c>
      <c r="M10" s="461">
        <f>IF(K10=0,0,1)</f>
        <v>0</v>
      </c>
      <c r="N10" s="462">
        <f>IF(AND(K10=2,L10=0),1,0)</f>
        <v>0</v>
      </c>
      <c r="O10" s="259">
        <f t="shared" si="1"/>
        <v>5</v>
      </c>
      <c r="P10" s="242" t="str">
        <f t="shared" si="0"/>
        <v>Nettoyer la chaudière</v>
      </c>
    </row>
    <row r="11" spans="2:16" ht="14.25" customHeight="1">
      <c r="B11" s="333"/>
      <c r="C11" s="104"/>
      <c r="D11" s="336" t="s">
        <v>44</v>
      </c>
      <c r="E11" s="113"/>
      <c r="F11" s="276"/>
      <c r="G11" s="249"/>
      <c r="H11" s="107"/>
      <c r="I11" s="26"/>
      <c r="N11" s="462"/>
      <c r="O11" s="259">
        <f t="shared" si="1"/>
        <v>6</v>
      </c>
      <c r="P11" s="242" t="str">
        <f t="shared" si="0"/>
        <v>Réisoler la chaudière, et par la suite, envisager son remplacement</v>
      </c>
    </row>
    <row r="12" spans="2:16" ht="12.75">
      <c r="B12" s="333"/>
      <c r="C12" s="104"/>
      <c r="D12" s="336" t="s">
        <v>45</v>
      </c>
      <c r="E12" s="113"/>
      <c r="F12" s="274" t="s">
        <v>180</v>
      </c>
      <c r="G12" s="249"/>
      <c r="H12" s="107"/>
      <c r="I12" s="26"/>
      <c r="N12" s="462"/>
      <c r="O12" s="259">
        <f t="shared" si="1"/>
        <v>7</v>
      </c>
      <c r="P12" s="242" t="str">
        <f t="shared" si="0"/>
        <v>Améliorer le réglage du brûleur : Régler le registre d'air et la tête de combustion</v>
      </c>
    </row>
    <row r="13" spans="2:16" ht="12.75">
      <c r="B13" s="333"/>
      <c r="C13" s="104" t="s">
        <v>46</v>
      </c>
      <c r="D13" s="336"/>
      <c r="E13" s="113"/>
      <c r="F13" s="274" t="s">
        <v>188</v>
      </c>
      <c r="G13" s="249"/>
      <c r="H13" s="107"/>
      <c r="I13" s="26"/>
      <c r="N13" s="462"/>
      <c r="O13" s="259">
        <f>O12+1</f>
        <v>8</v>
      </c>
      <c r="P13" s="242" t="str">
        <f t="shared" si="0"/>
        <v>Colmater les inétanchéités de la chaudière (portes, entre éléments en fonte) </v>
      </c>
    </row>
    <row r="14" spans="2:16" ht="12.75">
      <c r="B14" s="333"/>
      <c r="C14" s="104"/>
      <c r="D14" s="336"/>
      <c r="E14" s="113"/>
      <c r="F14" s="278">
        <v>1</v>
      </c>
      <c r="G14" s="314" t="str">
        <f aca="true" t="shared" si="2" ref="G14:G26">INDEX(Ameliorations_rendement_chaudiere,F14)</f>
        <v>Remplacer la chaudière et le brûleur</v>
      </c>
      <c r="H14" s="107"/>
      <c r="I14" s="26"/>
      <c r="N14" s="462"/>
      <c r="O14" s="259"/>
      <c r="P14" s="242"/>
    </row>
    <row r="15" spans="1:16" ht="12.75">
      <c r="A15" s="325">
        <v>1.1</v>
      </c>
      <c r="B15" s="333"/>
      <c r="C15" s="220" t="s">
        <v>4</v>
      </c>
      <c r="D15" s="104" t="s">
        <v>120</v>
      </c>
      <c r="F15" s="274" t="s">
        <v>181</v>
      </c>
      <c r="G15" s="249"/>
      <c r="H15" s="113"/>
      <c r="I15" s="114"/>
      <c r="K15" s="321">
        <v>0</v>
      </c>
      <c r="L15" s="433">
        <f>IF(K15=2,questionnaire!S34,IF(K15=3,0.05,0))</f>
        <v>0</v>
      </c>
      <c r="M15" s="461">
        <f>IF(K15=0,0,1)</f>
        <v>0</v>
      </c>
      <c r="N15" s="462">
        <f>IF(AND(K15=2,L15=0),1,0)</f>
        <v>0</v>
      </c>
      <c r="O15" s="259">
        <f>O13+1</f>
        <v>9</v>
      </c>
      <c r="P15" s="242" t="str">
        <f t="shared" si="0"/>
        <v>Diminuer la puissance du brûleur existant (Mettre un gicleur de plus petit calibre)</v>
      </c>
    </row>
    <row r="16" spans="1:16" s="14" customFormat="1" ht="22.5" customHeight="1">
      <c r="A16" s="325"/>
      <c r="B16" s="337"/>
      <c r="C16" s="338"/>
      <c r="D16" s="339"/>
      <c r="E16" s="228"/>
      <c r="F16" s="278">
        <v>8</v>
      </c>
      <c r="G16" s="314" t="str">
        <f t="shared" si="2"/>
        <v>Colmater les inétanchéités de la chaudière (portes, entre éléments en fonte) </v>
      </c>
      <c r="H16" s="227"/>
      <c r="I16" s="229"/>
      <c r="K16" s="320"/>
      <c r="L16" s="435"/>
      <c r="M16" s="453"/>
      <c r="N16" s="463"/>
      <c r="O16" s="259">
        <f>O15+1</f>
        <v>10</v>
      </c>
      <c r="P16" s="242" t="str">
        <f t="shared" si="0"/>
        <v>Corriger le raccordement électrique du brûleur ou débloquer le clapet pour qu'il se ferme</v>
      </c>
    </row>
    <row r="17" spans="1:16" s="14" customFormat="1" ht="12.75">
      <c r="A17" s="325">
        <v>1.2</v>
      </c>
      <c r="B17" s="333"/>
      <c r="C17" s="220" t="s">
        <v>4</v>
      </c>
      <c r="D17" s="104" t="s">
        <v>102</v>
      </c>
      <c r="F17" s="274" t="s">
        <v>182</v>
      </c>
      <c r="G17" s="249"/>
      <c r="H17" s="113"/>
      <c r="I17" s="114"/>
      <c r="K17" s="320">
        <v>0</v>
      </c>
      <c r="L17" s="433">
        <f>IF(K17=2,questionnaire!S40,IF(K17=3,0.05,0))</f>
        <v>0</v>
      </c>
      <c r="M17" s="461">
        <f>IF(K17=0,0,1)</f>
        <v>0</v>
      </c>
      <c r="N17" s="462">
        <f>IF(AND(K17=2,L17=0),1,0)</f>
        <v>0</v>
      </c>
      <c r="O17" s="259">
        <f>O16+1</f>
        <v>11</v>
      </c>
      <c r="P17" s="242" t="str">
        <f t="shared" si="0"/>
        <v>Etudier la faisabilité de la cogénération</v>
      </c>
    </row>
    <row r="18" spans="1:16" s="14" customFormat="1" ht="12.75">
      <c r="A18" s="325"/>
      <c r="B18" s="337"/>
      <c r="C18" s="338"/>
      <c r="D18" s="339"/>
      <c r="E18" s="228"/>
      <c r="F18" s="278">
        <v>4</v>
      </c>
      <c r="G18" s="314" t="str">
        <f t="shared" si="2"/>
        <v>Placer un régulateur de tirage </v>
      </c>
      <c r="H18" s="227"/>
      <c r="I18" s="229"/>
      <c r="K18" s="320"/>
      <c r="L18" s="435"/>
      <c r="M18" s="453"/>
      <c r="N18" s="463"/>
      <c r="O18" s="259">
        <f>O17+1</f>
        <v>12</v>
      </c>
      <c r="P18" s="242" t="str">
        <f t="shared" si="0"/>
        <v>Equiper les chaudières pour pouvoir piloter chaudières et brûleurs en cascade</v>
      </c>
    </row>
    <row r="19" spans="1:16" s="14" customFormat="1" ht="12.75">
      <c r="A19" s="325">
        <v>1.3</v>
      </c>
      <c r="B19" s="340"/>
      <c r="C19" s="431" t="s">
        <v>4</v>
      </c>
      <c r="D19" s="432" t="s">
        <v>103</v>
      </c>
      <c r="E19" s="231"/>
      <c r="F19" s="274" t="s">
        <v>183</v>
      </c>
      <c r="G19" s="249"/>
      <c r="H19" s="230"/>
      <c r="I19" s="232"/>
      <c r="K19" s="320">
        <v>0</v>
      </c>
      <c r="L19" s="433">
        <f>IF(K19=2,questionnaire!S45,IF(K19=3,0.05,0))</f>
        <v>0</v>
      </c>
      <c r="M19" s="461">
        <f>IF(K19=0,0,1)</f>
        <v>0</v>
      </c>
      <c r="N19" s="462">
        <f>IF(AND(K19=2,L19=0),1,0)</f>
        <v>0</v>
      </c>
      <c r="O19" s="259"/>
      <c r="P19" s="242"/>
    </row>
    <row r="20" spans="1:16" s="14" customFormat="1" ht="12.75">
      <c r="A20" s="325"/>
      <c r="B20" s="333"/>
      <c r="C20" s="338"/>
      <c r="D20" s="339"/>
      <c r="E20" s="67"/>
      <c r="F20" s="278">
        <v>3</v>
      </c>
      <c r="G20" s="314" t="str">
        <f t="shared" si="2"/>
        <v>Régler le régulateur de tirage</v>
      </c>
      <c r="H20" s="113"/>
      <c r="I20" s="114"/>
      <c r="K20" s="320"/>
      <c r="L20" s="433"/>
      <c r="M20" s="464"/>
      <c r="N20" s="463"/>
      <c r="O20" s="259"/>
      <c r="P20" s="242"/>
    </row>
    <row r="21" spans="1:16" ht="12.75">
      <c r="A21" s="325">
        <v>1.4</v>
      </c>
      <c r="B21" s="333"/>
      <c r="C21" s="220" t="s">
        <v>4</v>
      </c>
      <c r="D21" s="104" t="str">
        <f>questionnaire!D51</f>
        <v>La chaudière est-elle "propre" (pas encrassée) ?</v>
      </c>
      <c r="F21" s="274" t="s">
        <v>184</v>
      </c>
      <c r="G21" s="249"/>
      <c r="H21" s="113"/>
      <c r="I21" s="114"/>
      <c r="K21" s="321">
        <v>0</v>
      </c>
      <c r="L21" s="433">
        <f>IF(K21=2,questionnaire!S51,IF(K21=3,0.05,0))</f>
        <v>0</v>
      </c>
      <c r="M21" s="461">
        <f>IF(K21=0,0,1)</f>
        <v>0</v>
      </c>
      <c r="N21" s="462">
        <f>IF(AND(K21=2,L21=0),1,0)</f>
        <v>0</v>
      </c>
      <c r="O21" s="259"/>
      <c r="P21" s="242"/>
    </row>
    <row r="22" spans="1:16" s="14" customFormat="1" ht="12.75">
      <c r="A22" s="325"/>
      <c r="B22" s="337"/>
      <c r="C22" s="338"/>
      <c r="D22" s="339"/>
      <c r="E22" s="228"/>
      <c r="F22" s="278">
        <v>5</v>
      </c>
      <c r="G22" s="314" t="str">
        <f t="shared" si="2"/>
        <v>Nettoyer la chaudière</v>
      </c>
      <c r="H22" s="227"/>
      <c r="I22" s="229"/>
      <c r="K22" s="320"/>
      <c r="L22" s="435"/>
      <c r="M22" s="453"/>
      <c r="N22" s="463"/>
      <c r="O22" s="245"/>
      <c r="P22" s="80"/>
    </row>
    <row r="23" spans="1:16" ht="12.75">
      <c r="A23" s="325">
        <v>1.5</v>
      </c>
      <c r="B23" s="333"/>
      <c r="C23" s="220" t="s">
        <v>4</v>
      </c>
      <c r="D23" s="104" t="str">
        <f>questionnaire!D57</f>
        <v>La chaudière et le brûleur ont-ils moins de 25 ans ?</v>
      </c>
      <c r="E23" s="113"/>
      <c r="F23" s="274" t="s">
        <v>185</v>
      </c>
      <c r="G23" s="249"/>
      <c r="H23" s="113"/>
      <c r="I23" s="114"/>
      <c r="K23" s="321">
        <v>0</v>
      </c>
      <c r="L23" s="433">
        <f>IF(K23=2,questionnaire!S57,IF(K23=3,0.05,0))</f>
        <v>0</v>
      </c>
      <c r="M23" s="461">
        <f>IF(K23=0,0,1)</f>
        <v>0</v>
      </c>
      <c r="N23" s="462">
        <f>IF(AND(K23=2,L23=0),1,0)</f>
        <v>0</v>
      </c>
      <c r="O23" s="260" t="s">
        <v>92</v>
      </c>
      <c r="P23" s="261"/>
    </row>
    <row r="24" spans="2:16" ht="12.75">
      <c r="B24" s="337"/>
      <c r="C24" s="338"/>
      <c r="D24" s="339"/>
      <c r="E24" s="228"/>
      <c r="F24" s="278">
        <v>1</v>
      </c>
      <c r="G24" s="314" t="str">
        <f t="shared" si="2"/>
        <v>Remplacer la chaudière et le brûleur</v>
      </c>
      <c r="H24" s="227"/>
      <c r="I24" s="229"/>
      <c r="N24" s="462"/>
      <c r="O24" s="262">
        <v>1</v>
      </c>
      <c r="P24" s="243" t="str">
        <f aca="true" t="shared" si="3" ref="P24:P34">INDEX(Ameliorations_reseau_emission,O24)</f>
        <v>Isoler les conduites (ainsi que les vannes) dans les locaux non chauffés en permanence (gaines techniques, faux-plafonds, …)</v>
      </c>
    </row>
    <row r="25" spans="1:16" ht="12.75">
      <c r="A25" s="325">
        <v>1.6</v>
      </c>
      <c r="B25" s="333"/>
      <c r="C25" s="220" t="s">
        <v>4</v>
      </c>
      <c r="D25" s="104" t="s">
        <v>125</v>
      </c>
      <c r="F25" s="274" t="s">
        <v>187</v>
      </c>
      <c r="G25" s="249"/>
      <c r="H25" s="113"/>
      <c r="I25" s="114"/>
      <c r="K25" s="321">
        <v>0</v>
      </c>
      <c r="L25" s="433">
        <f>IF(K25=2,questionnaire!S62,IF(K25=3,0.05,0))</f>
        <v>0</v>
      </c>
      <c r="M25" s="461">
        <f>IF(K25=0,0,1)</f>
        <v>0</v>
      </c>
      <c r="N25" s="462">
        <f>IF(AND(K25=2,L25=0),1,0)</f>
        <v>0</v>
      </c>
      <c r="O25" s="262">
        <f aca="true" t="shared" si="4" ref="O25:O34">O24+1</f>
        <v>2</v>
      </c>
      <c r="P25" s="243" t="str">
        <f t="shared" si="3"/>
        <v>Réduire de vitesse les circulateurs à plusieurs vitesses</v>
      </c>
    </row>
    <row r="26" spans="2:16" ht="22.5" customHeight="1" thickBot="1">
      <c r="B26" s="334"/>
      <c r="C26" s="335"/>
      <c r="D26" s="335"/>
      <c r="E26" s="234"/>
      <c r="F26" s="278">
        <v>9</v>
      </c>
      <c r="G26" s="314" t="str">
        <f t="shared" si="2"/>
        <v>Diminuer la puissance du brûleur existant (Mettre un gicleur de plus petit calibre)</v>
      </c>
      <c r="H26" s="28"/>
      <c r="I26" s="29"/>
      <c r="N26" s="462"/>
      <c r="O26" s="262">
        <f t="shared" si="4"/>
        <v>3</v>
      </c>
      <c r="P26" s="243" t="str">
        <f t="shared" si="3"/>
        <v>Remplacer les circulateurs existants par des circulateurs à vitesse variable</v>
      </c>
    </row>
    <row r="27" spans="2:16" ht="19.5" customHeight="1">
      <c r="B27" s="333"/>
      <c r="C27" s="220"/>
      <c r="D27" s="104"/>
      <c r="F27" s="274" t="s">
        <v>180</v>
      </c>
      <c r="G27" s="196"/>
      <c r="H27" s="113"/>
      <c r="I27" s="114"/>
      <c r="L27" s="433"/>
      <c r="M27" s="464"/>
      <c r="N27" s="462"/>
      <c r="O27" s="262"/>
      <c r="P27" s="243"/>
    </row>
    <row r="28" spans="2:16" ht="19.5" customHeight="1">
      <c r="B28" s="333"/>
      <c r="C28" s="220"/>
      <c r="D28" s="104"/>
      <c r="F28" s="274" t="s">
        <v>186</v>
      </c>
      <c r="G28" s="196"/>
      <c r="H28" s="113"/>
      <c r="I28" s="114"/>
      <c r="L28" s="433"/>
      <c r="M28" s="464"/>
      <c r="N28" s="462"/>
      <c r="O28" s="262"/>
      <c r="P28" s="243"/>
    </row>
    <row r="29" spans="2:16" ht="47.25" customHeight="1" thickBot="1">
      <c r="B29" s="334"/>
      <c r="C29" s="335"/>
      <c r="D29" s="335"/>
      <c r="E29" s="234"/>
      <c r="F29" s="277">
        <v>13</v>
      </c>
      <c r="G29" s="314" t="str">
        <f>INDEX(Ameliorations_rendement_chaudiere,F29)</f>
        <v>Si le rendement reste inférieur à 88% après avoir effectué les améliorations possibles (colmaté et nettoyé la chaudière, régulé le tirage, diminué la puissance du brûleur), remplacer la chaudière et le brûleur</v>
      </c>
      <c r="H29" s="28"/>
      <c r="I29" s="29"/>
      <c r="N29" s="462"/>
      <c r="O29" s="262">
        <f>O25+1</f>
        <v>3</v>
      </c>
      <c r="P29" s="243" t="str">
        <f>INDEX(Ameliorations_reseau_emission,O29)</f>
        <v>Remplacer les circulateurs existants par des circulateurs à vitesse variable</v>
      </c>
    </row>
    <row r="30" spans="1:16" s="14" customFormat="1" ht="13.5" thickBot="1">
      <c r="A30" s="325"/>
      <c r="B30" s="2"/>
      <c r="C30" s="2"/>
      <c r="D30" s="2"/>
      <c r="F30" s="274"/>
      <c r="G30" s="247"/>
      <c r="H30"/>
      <c r="I30"/>
      <c r="K30" s="320"/>
      <c r="L30" s="435"/>
      <c r="M30" s="453"/>
      <c r="N30" s="463"/>
      <c r="O30" s="262">
        <f>O26+1</f>
        <v>4</v>
      </c>
      <c r="P30" s="243" t="str">
        <f t="shared" si="3"/>
        <v>Équilibrer le réseau hydraulique</v>
      </c>
    </row>
    <row r="31" spans="2:16" ht="12.75">
      <c r="B31" s="331"/>
      <c r="C31" s="332"/>
      <c r="D31" s="332"/>
      <c r="E31" s="233"/>
      <c r="F31" s="275"/>
      <c r="G31" s="248"/>
      <c r="H31" s="23"/>
      <c r="I31" s="24"/>
      <c r="N31" s="462"/>
      <c r="O31" s="262">
        <f t="shared" si="4"/>
        <v>5</v>
      </c>
      <c r="P31" s="243" t="str">
        <f t="shared" si="3"/>
        <v>Equiper le départ des différents circuits de vannes d'équilibrage et les radiateurs/ventilo-convecteurs de tés de réglage, puis équilibrer l'installation.</v>
      </c>
    </row>
    <row r="32" spans="1:16" s="14" customFormat="1" ht="12.75">
      <c r="A32" s="325">
        <f>A10+1</f>
        <v>2</v>
      </c>
      <c r="B32" s="333"/>
      <c r="C32" s="104" t="s">
        <v>20</v>
      </c>
      <c r="D32" s="37"/>
      <c r="E32" s="67"/>
      <c r="F32" s="274" t="s">
        <v>88</v>
      </c>
      <c r="G32" s="247"/>
      <c r="H32" s="4"/>
      <c r="I32" s="26"/>
      <c r="K32" s="320"/>
      <c r="L32" s="435"/>
      <c r="M32" s="453"/>
      <c r="N32" s="463"/>
      <c r="O32" s="262">
        <f t="shared" si="4"/>
        <v>6</v>
      </c>
      <c r="P32" s="243" t="str">
        <f t="shared" si="3"/>
        <v>Isoler les vannes situées sur les conduites isolées</v>
      </c>
    </row>
    <row r="33" spans="1:16" ht="24" customHeight="1">
      <c r="A33" s="325">
        <v>2.1</v>
      </c>
      <c r="B33" s="333"/>
      <c r="C33" s="220" t="s">
        <v>4</v>
      </c>
      <c r="D33" s="104" t="s">
        <v>50</v>
      </c>
      <c r="E33" s="112"/>
      <c r="F33" s="276">
        <v>6</v>
      </c>
      <c r="G33" s="249" t="str">
        <f>INDEX(Ameliorations_rendement_chaudiere,F33)</f>
        <v>Réisoler la chaudière, et par la suite, envisager son remplacement</v>
      </c>
      <c r="H33" s="112"/>
      <c r="I33" s="114"/>
      <c r="K33" s="321">
        <v>0</v>
      </c>
      <c r="L33" s="433">
        <f>IF(K33=2,questionnaire!S73,IF(K33=3,0.05,0))</f>
        <v>0</v>
      </c>
      <c r="M33" s="461">
        <f>IF(K33=0,0,1)</f>
        <v>0</v>
      </c>
      <c r="N33" s="462">
        <f>IF(AND(K33=2,L33=0),1,0)</f>
        <v>0</v>
      </c>
      <c r="O33" s="262">
        <f t="shared" si="4"/>
        <v>7</v>
      </c>
      <c r="P33" s="243" t="str">
        <f t="shared" si="3"/>
        <v>Adapter le découpage du réseau aux besoins des locaux</v>
      </c>
    </row>
    <row r="34" spans="1:16" s="4" customFormat="1" ht="12.75">
      <c r="A34" s="325">
        <v>2.2</v>
      </c>
      <c r="B34" s="333"/>
      <c r="C34" s="220" t="s">
        <v>4</v>
      </c>
      <c r="D34" s="104" t="s">
        <v>52</v>
      </c>
      <c r="E34" s="112"/>
      <c r="F34" s="278"/>
      <c r="G34" s="314"/>
      <c r="H34" s="112"/>
      <c r="I34" s="114"/>
      <c r="K34" s="305">
        <v>0</v>
      </c>
      <c r="L34" s="433">
        <f>IF(K34=2,questionnaire!S79,IF(K34=3,0.05,0))</f>
        <v>0</v>
      </c>
      <c r="M34" s="461">
        <f>IF(K34=0,0,1)</f>
        <v>0</v>
      </c>
      <c r="N34" s="462">
        <f>IF(AND(K34=2,L34=0),1,0)</f>
        <v>0</v>
      </c>
      <c r="O34" s="262">
        <f t="shared" si="4"/>
        <v>8</v>
      </c>
      <c r="P34" s="243" t="str">
        <f t="shared" si="3"/>
        <v>Améliorer le réseau hydraulique pour valoriser la chaudière à condensation</v>
      </c>
    </row>
    <row r="35" spans="2:17" ht="13.5" thickBot="1">
      <c r="B35" s="334"/>
      <c r="C35" s="335"/>
      <c r="D35" s="335"/>
      <c r="E35" s="234"/>
      <c r="F35" s="279"/>
      <c r="G35" s="254"/>
      <c r="H35" s="28"/>
      <c r="I35" s="29"/>
      <c r="L35" s="433"/>
      <c r="M35" s="464"/>
      <c r="N35" s="462"/>
      <c r="O35" s="262"/>
      <c r="P35" s="243"/>
      <c r="Q35" s="4"/>
    </row>
    <row r="36" spans="1:16" s="4" customFormat="1" ht="13.5" thickBot="1">
      <c r="A36" s="325"/>
      <c r="B36" s="2"/>
      <c r="C36" s="2"/>
      <c r="D36" s="2"/>
      <c r="E36" s="14"/>
      <c r="F36" s="274"/>
      <c r="G36" s="247"/>
      <c r="H36"/>
      <c r="I36"/>
      <c r="K36" s="305"/>
      <c r="L36" s="436"/>
      <c r="M36" s="459"/>
      <c r="N36" s="465"/>
      <c r="O36" s="262"/>
      <c r="P36" s="243"/>
    </row>
    <row r="37" spans="1:17" ht="12.75">
      <c r="A37" s="330"/>
      <c r="B37" s="331"/>
      <c r="C37" s="332"/>
      <c r="D37" s="332"/>
      <c r="E37" s="233"/>
      <c r="F37" s="275"/>
      <c r="G37" s="248"/>
      <c r="H37" s="23"/>
      <c r="I37" s="24"/>
      <c r="N37" s="462"/>
      <c r="O37" s="246"/>
      <c r="P37" s="112"/>
      <c r="Q37" s="4"/>
    </row>
    <row r="38" spans="1:16" s="4" customFormat="1" ht="12.75">
      <c r="A38" s="325">
        <f>A32+1</f>
        <v>3</v>
      </c>
      <c r="B38" s="333"/>
      <c r="C38" s="104" t="s">
        <v>53</v>
      </c>
      <c r="D38" s="104"/>
      <c r="E38" s="112"/>
      <c r="F38" s="274" t="s">
        <v>89</v>
      </c>
      <c r="G38" s="196"/>
      <c r="I38" s="26"/>
      <c r="K38" s="305">
        <v>0</v>
      </c>
      <c r="L38" s="433">
        <f>IF(K38=2,questionnaire!S87,IF(K38=3,0.05,0))</f>
        <v>0</v>
      </c>
      <c r="M38" s="461">
        <f>IF(K38=0,0,1)</f>
        <v>0</v>
      </c>
      <c r="N38" s="462">
        <f>IF(AND(K38=2,L38=0),1,0)</f>
        <v>0</v>
      </c>
      <c r="O38" s="263" t="s">
        <v>93</v>
      </c>
      <c r="P38" s="264"/>
    </row>
    <row r="39" spans="1:17" ht="35.25" customHeight="1">
      <c r="A39" s="330"/>
      <c r="B39" s="333"/>
      <c r="C39" s="37" t="s">
        <v>46</v>
      </c>
      <c r="D39" s="37"/>
      <c r="E39" s="67"/>
      <c r="F39" s="280">
        <v>10</v>
      </c>
      <c r="G39" s="253" t="str">
        <f>INDEX(Ameliorations_rendement_chaudiere,F39)</f>
        <v>Corriger le raccordement électrique du brûleur ou débloquer le clapet pour qu'il se ferme</v>
      </c>
      <c r="H39" s="240"/>
      <c r="I39" s="241"/>
      <c r="N39" s="462"/>
      <c r="O39" s="265">
        <v>1</v>
      </c>
      <c r="P39" s="244" t="str">
        <f aca="true" t="shared" si="5" ref="P39:P56">INDEX(Ameliorations_maintenance_regulation,O39)</f>
        <v>Arrêter l'installation de chauffage la nuit et le week-end</v>
      </c>
      <c r="Q39" s="4"/>
    </row>
    <row r="40" spans="1:16" ht="12.75">
      <c r="A40" s="325">
        <v>3.1</v>
      </c>
      <c r="B40" s="333"/>
      <c r="C40" s="104" t="s">
        <v>142</v>
      </c>
      <c r="D40" s="104"/>
      <c r="E40" s="112"/>
      <c r="F40" s="274" t="s">
        <v>90</v>
      </c>
      <c r="G40" s="196"/>
      <c r="H40" s="4"/>
      <c r="I40" s="26"/>
      <c r="K40" s="321">
        <v>0</v>
      </c>
      <c r="L40" s="433">
        <f>IF(K40=2,questionnaire!S93,IF(K40=3,0.05,0))</f>
        <v>0</v>
      </c>
      <c r="M40" s="461">
        <f>IF(K40=0,0,1)</f>
        <v>0</v>
      </c>
      <c r="N40" s="462"/>
      <c r="O40" s="265">
        <f>O39+1</f>
        <v>2</v>
      </c>
      <c r="P40" s="244" t="str">
        <f t="shared" si="5"/>
        <v>Pratiquer un ralenti par coupure complète de l'installation, contrôlée par thermostat d'ambiance</v>
      </c>
    </row>
    <row r="41" spans="2:16" ht="12.75">
      <c r="B41" s="333"/>
      <c r="C41" s="104"/>
      <c r="D41" s="104"/>
      <c r="E41" s="112"/>
      <c r="F41" s="276">
        <v>2</v>
      </c>
      <c r="G41" s="249" t="str">
        <f>INDEX(Ameliorations_rendement_chaudiere,F41)</f>
        <v>Remplacer le brûleur </v>
      </c>
      <c r="H41" s="4"/>
      <c r="I41" s="26"/>
      <c r="N41" s="462"/>
      <c r="O41" s="265">
        <f aca="true" t="shared" si="6" ref="O41:O51">O40+1</f>
        <v>3</v>
      </c>
      <c r="P41" s="244" t="str">
        <f t="shared" si="5"/>
        <v>Remplacer l'horloge afin de pouvoir programmer le fonctionnement de l'installation conformément à l'utilisation du bâtiment (en fonction du jour de la semaine, des jours de congé,…)</v>
      </c>
    </row>
    <row r="42" spans="1:16" ht="13.5" thickBot="1">
      <c r="A42" s="330"/>
      <c r="B42" s="334"/>
      <c r="C42" s="335"/>
      <c r="D42" s="335"/>
      <c r="E42" s="234"/>
      <c r="F42" s="279"/>
      <c r="G42" s="254"/>
      <c r="H42" s="28"/>
      <c r="I42" s="29"/>
      <c r="N42" s="462"/>
      <c r="O42" s="265">
        <f t="shared" si="6"/>
        <v>4</v>
      </c>
      <c r="P42" s="244" t="str">
        <f t="shared" si="5"/>
        <v>Arrêter les circulateurs lorsqu'il n'y a pas de besoin de chauffage </v>
      </c>
    </row>
    <row r="43" spans="1:16" s="14" customFormat="1" ht="13.5" thickBot="1">
      <c r="A43" s="325"/>
      <c r="B43" s="2"/>
      <c r="C43" s="2"/>
      <c r="D43" s="2"/>
      <c r="F43" s="274"/>
      <c r="G43" s="247"/>
      <c r="H43"/>
      <c r="I43"/>
      <c r="K43" s="320"/>
      <c r="L43" s="435"/>
      <c r="M43" s="453"/>
      <c r="N43" s="463"/>
      <c r="O43" s="265">
        <f t="shared" si="6"/>
        <v>5</v>
      </c>
      <c r="P43" s="244" t="str">
        <f t="shared" si="5"/>
        <v>Vérifier les paramètres de régulation de la chaudière à condensation pour permettre la condensation (l'eau arrive froide à la chaudière) </v>
      </c>
    </row>
    <row r="44" spans="1:16" s="14" customFormat="1" ht="12.75">
      <c r="A44" s="325"/>
      <c r="B44" s="331"/>
      <c r="C44" s="332"/>
      <c r="D44" s="332"/>
      <c r="E44" s="233"/>
      <c r="F44" s="275"/>
      <c r="G44" s="248"/>
      <c r="H44" s="23"/>
      <c r="I44" s="24"/>
      <c r="K44" s="320"/>
      <c r="L44" s="435"/>
      <c r="M44" s="453"/>
      <c r="N44" s="463"/>
      <c r="O44" s="265">
        <f t="shared" si="6"/>
        <v>6</v>
      </c>
      <c r="P44" s="244" t="str">
        <f t="shared" si="5"/>
        <v>Placer un thermostat d'ambiance de compensation</v>
      </c>
    </row>
    <row r="45" spans="1:16" s="14" customFormat="1" ht="12.75">
      <c r="A45" s="325">
        <f>A38+1</f>
        <v>4</v>
      </c>
      <c r="B45" s="333"/>
      <c r="C45" s="104" t="s">
        <v>54</v>
      </c>
      <c r="D45" s="37"/>
      <c r="E45" s="67"/>
      <c r="F45" s="274" t="s">
        <v>88</v>
      </c>
      <c r="G45" s="247"/>
      <c r="H45" s="4"/>
      <c r="I45" s="26"/>
      <c r="K45" s="320"/>
      <c r="L45" s="435"/>
      <c r="M45" s="453"/>
      <c r="N45" s="463"/>
      <c r="O45" s="265">
        <f t="shared" si="6"/>
        <v>7</v>
      </c>
      <c r="P45" s="244" t="str">
        <f t="shared" si="5"/>
        <v>Adapter les horaires de la régulation aux horaires d'occupation réels du bâtiment</v>
      </c>
    </row>
    <row r="46" spans="1:16" ht="21">
      <c r="A46" s="325" t="str">
        <f>CONCATENATE(A$45,".1")</f>
        <v>4.1</v>
      </c>
      <c r="B46" s="333"/>
      <c r="C46" s="220" t="s">
        <v>4</v>
      </c>
      <c r="D46" s="104" t="s">
        <v>56</v>
      </c>
      <c r="E46" s="112"/>
      <c r="F46" s="276">
        <v>9</v>
      </c>
      <c r="G46" s="249" t="str">
        <f>INDEX(Ameliorations_rendement_chaudiere,F46)</f>
        <v>Diminuer la puissance du brûleur existant (Mettre un gicleur de plus petit calibre)</v>
      </c>
      <c r="H46" s="112"/>
      <c r="I46" s="114"/>
      <c r="K46" s="321">
        <v>0</v>
      </c>
      <c r="L46" s="433">
        <f>IF(K46=2,questionnaire!S102,IF(K46=3,0.05,0))</f>
        <v>0</v>
      </c>
      <c r="M46" s="461">
        <f>IF(K46=0,0,1)</f>
        <v>0</v>
      </c>
      <c r="N46" s="462">
        <f>IF(AND(K46=2,L46=0),1,0)</f>
        <v>0</v>
      </c>
      <c r="O46" s="265">
        <f t="shared" si="6"/>
        <v>8</v>
      </c>
      <c r="P46" s="244" t="str">
        <f t="shared" si="5"/>
        <v>Equiper les différents circuits d'une régulation indépendante.</v>
      </c>
    </row>
    <row r="47" spans="2:16" ht="12.75">
      <c r="B47" s="333"/>
      <c r="C47" s="104" t="s">
        <v>57</v>
      </c>
      <c r="E47" s="112"/>
      <c r="F47" s="267">
        <v>14</v>
      </c>
      <c r="G47" s="255" t="str">
        <f>INDEX(Ameliorations_maintenance_regulation,F47)</f>
        <v>Améliorer la régulation en cascade</v>
      </c>
      <c r="H47" s="112"/>
      <c r="I47" s="114"/>
      <c r="N47" s="462"/>
      <c r="O47" s="265">
        <f t="shared" si="6"/>
        <v>9</v>
      </c>
      <c r="P47" s="244" t="str">
        <f t="shared" si="5"/>
        <v>Corriger le réglage des courbes de chauffe </v>
      </c>
    </row>
    <row r="48" spans="1:16" s="14" customFormat="1" ht="12.75">
      <c r="A48" s="325"/>
      <c r="B48" s="333"/>
      <c r="C48" s="220"/>
      <c r="D48" s="104" t="s">
        <v>55</v>
      </c>
      <c r="E48" s="112"/>
      <c r="F48" s="267">
        <v>15</v>
      </c>
      <c r="G48" s="255" t="str">
        <f>INDEX(Ameliorations_maintenance_regulation,F48)</f>
        <v>Mettre une chaudière à l'arrêt</v>
      </c>
      <c r="H48" s="112"/>
      <c r="I48" s="114"/>
      <c r="K48" s="320"/>
      <c r="L48" s="435"/>
      <c r="M48" s="453"/>
      <c r="N48" s="463"/>
      <c r="O48" s="265">
        <f t="shared" si="6"/>
        <v>10</v>
      </c>
      <c r="P48" s="244" t="str">
        <f t="shared" si="5"/>
        <v>Placer des vannes thermostatiques dans les locaux où il y a surchauffe</v>
      </c>
    </row>
    <row r="49" spans="2:16" ht="12.75">
      <c r="B49" s="333"/>
      <c r="C49" s="341"/>
      <c r="D49" s="104" t="s">
        <v>132</v>
      </c>
      <c r="E49" s="224"/>
      <c r="F49" s="276"/>
      <c r="G49" s="249"/>
      <c r="H49" s="4"/>
      <c r="I49" s="26"/>
      <c r="N49" s="462"/>
      <c r="O49" s="265">
        <f t="shared" si="6"/>
        <v>11</v>
      </c>
      <c r="P49" s="244" t="str">
        <f t="shared" si="5"/>
        <v>Contrôler les brûleurs plusieurs fois par an</v>
      </c>
    </row>
    <row r="50" spans="2:16" ht="12.75">
      <c r="B50" s="333"/>
      <c r="C50" s="341"/>
      <c r="D50" s="104" t="s">
        <v>133</v>
      </c>
      <c r="E50" s="224"/>
      <c r="H50" s="4"/>
      <c r="I50" s="26"/>
      <c r="L50" s="433"/>
      <c r="M50" s="464"/>
      <c r="N50" s="462"/>
      <c r="O50" s="265">
        <f t="shared" si="6"/>
        <v>12</v>
      </c>
      <c r="P50" s="244" t="str">
        <f t="shared" si="5"/>
        <v>Réguler l'aquastat pour qu'en été, en dehors des périodes de préparation de l'eau chaude sanitaire, la température de la chaudière retombe à 20°C</v>
      </c>
    </row>
    <row r="51" spans="1:16" ht="12.75">
      <c r="A51" s="325" t="str">
        <f>CONCATENATE(A$45,".2")</f>
        <v>4.2</v>
      </c>
      <c r="B51" s="333"/>
      <c r="C51" s="220" t="s">
        <v>4</v>
      </c>
      <c r="D51" s="104" t="str">
        <f>questionnaire!D111</f>
        <v>Les cycles de fonctionnement du brûleur sont-ils longs ? </v>
      </c>
      <c r="E51" s="112"/>
      <c r="G51" s="196"/>
      <c r="H51" s="112"/>
      <c r="I51" s="114"/>
      <c r="K51" s="321">
        <v>0</v>
      </c>
      <c r="L51" s="433">
        <f>IF(K51=2,questionnaire!S111,IF(K51=3,0.05,0))</f>
        <v>0</v>
      </c>
      <c r="M51" s="461">
        <f>IF(K51=0,0,1)</f>
        <v>0</v>
      </c>
      <c r="N51" s="462">
        <f>IF(AND(K51=2,L51=0),1,0)</f>
        <v>0</v>
      </c>
      <c r="O51" s="265">
        <f t="shared" si="6"/>
        <v>13</v>
      </c>
      <c r="P51" s="244" t="str">
        <f t="shared" si="5"/>
        <v>Arrêter la chaudière en été</v>
      </c>
    </row>
    <row r="52" spans="2:16" ht="12.75">
      <c r="B52" s="333"/>
      <c r="C52" s="341"/>
      <c r="D52" s="105" t="str">
        <f>questionnaire!D112</f>
        <v>(supérieurs à 4 min)</v>
      </c>
      <c r="E52" s="224"/>
      <c r="H52" s="4"/>
      <c r="I52" s="26"/>
      <c r="N52" s="462"/>
      <c r="O52" s="265">
        <f>O51+1</f>
        <v>14</v>
      </c>
      <c r="P52" s="244" t="str">
        <f t="shared" si="5"/>
        <v>Améliorer la régulation en cascade</v>
      </c>
    </row>
    <row r="53" spans="2:16" ht="13.5" thickBot="1">
      <c r="B53" s="334"/>
      <c r="C53" s="335"/>
      <c r="D53" s="335"/>
      <c r="E53" s="234"/>
      <c r="F53" s="279"/>
      <c r="G53" s="254"/>
      <c r="H53" s="28"/>
      <c r="I53" s="29"/>
      <c r="N53" s="462"/>
      <c r="O53" s="265">
        <f>O52+1</f>
        <v>15</v>
      </c>
      <c r="P53" s="244" t="str">
        <f t="shared" si="5"/>
        <v>Mettre une chaudière à l'arrêt</v>
      </c>
    </row>
    <row r="54" spans="14:16" ht="13.5" thickBot="1">
      <c r="N54" s="462"/>
      <c r="O54" s="265">
        <f>O53+1</f>
        <v>16</v>
      </c>
      <c r="P54" s="244" t="str">
        <f t="shared" si="5"/>
        <v>Remplacer le vase d'expansion</v>
      </c>
    </row>
    <row r="55" spans="2:16" ht="12.75">
      <c r="B55" s="331"/>
      <c r="C55" s="332"/>
      <c r="D55" s="332"/>
      <c r="E55" s="233"/>
      <c r="F55" s="275"/>
      <c r="G55" s="248"/>
      <c r="H55" s="23"/>
      <c r="I55" s="24"/>
      <c r="N55" s="462"/>
      <c r="O55" s="265">
        <f>O54+1</f>
        <v>17</v>
      </c>
      <c r="P55" s="244" t="str">
        <f t="shared" si="5"/>
        <v>Chercher la cause de l'insuffisance d'eau, l'origine de la fuite</v>
      </c>
    </row>
    <row r="56" spans="1:16" s="14" customFormat="1" ht="12.75">
      <c r="A56" s="325">
        <f>A45+1</f>
        <v>5</v>
      </c>
      <c r="B56" s="333"/>
      <c r="C56" s="104" t="s">
        <v>71</v>
      </c>
      <c r="D56" s="37"/>
      <c r="E56" s="67"/>
      <c r="F56" s="274" t="s">
        <v>137</v>
      </c>
      <c r="G56" s="247"/>
      <c r="H56" s="4"/>
      <c r="I56" s="26"/>
      <c r="K56" s="320">
        <v>0</v>
      </c>
      <c r="L56" s="433">
        <f>IF(K56=2,questionnaire!S120,IF(K56=3,0.05,0))</f>
        <v>0</v>
      </c>
      <c r="M56" s="461">
        <f>IF(K56=0,0,1)</f>
        <v>0</v>
      </c>
      <c r="N56" s="462">
        <f>IF(AND(K56=2,L56=0),1,0)</f>
        <v>0</v>
      </c>
      <c r="O56" s="265">
        <f>O55+1</f>
        <v>18</v>
      </c>
      <c r="P56" s="244">
        <f t="shared" si="5"/>
        <v>0</v>
      </c>
    </row>
    <row r="57" spans="1:16" s="14" customFormat="1" ht="21">
      <c r="A57" s="325"/>
      <c r="B57" s="333"/>
      <c r="C57" s="104" t="s">
        <v>74</v>
      </c>
      <c r="D57" s="37"/>
      <c r="E57" s="67"/>
      <c r="F57" s="280">
        <v>12</v>
      </c>
      <c r="G57" s="253" t="str">
        <f>INDEX(Ameliorations_rendement_chaudiere,F57)</f>
        <v>Equiper les chaudières pour pouvoir piloter chaudières et brûleurs en cascade</v>
      </c>
      <c r="H57" s="4"/>
      <c r="I57" s="26"/>
      <c r="K57" s="320"/>
      <c r="L57" s="435"/>
      <c r="M57" s="453"/>
      <c r="N57" s="463"/>
      <c r="O57" s="265"/>
      <c r="P57" s="244"/>
    </row>
    <row r="58" spans="2:16" ht="12.75">
      <c r="B58" s="333"/>
      <c r="C58" s="104" t="s">
        <v>40</v>
      </c>
      <c r="D58" s="37"/>
      <c r="E58" s="67"/>
      <c r="F58" s="274" t="s">
        <v>138</v>
      </c>
      <c r="H58" s="4"/>
      <c r="I58" s="26"/>
      <c r="N58" s="462"/>
      <c r="O58" s="265"/>
      <c r="P58" s="244"/>
    </row>
    <row r="59" spans="1:16" ht="12.75">
      <c r="A59" s="325" t="str">
        <f>CONCATENATE(A$56,".1")</f>
        <v>5.1</v>
      </c>
      <c r="B59" s="333"/>
      <c r="C59" s="220" t="s">
        <v>4</v>
      </c>
      <c r="D59" s="104" t="s">
        <v>73</v>
      </c>
      <c r="E59" s="112"/>
      <c r="F59" s="267">
        <v>14</v>
      </c>
      <c r="G59" s="255" t="str">
        <f>INDEX(Ameliorations_maintenance_regulation,F59)</f>
        <v>Améliorer la régulation en cascade</v>
      </c>
      <c r="H59" s="112"/>
      <c r="I59" s="114"/>
      <c r="K59" s="321">
        <v>0</v>
      </c>
      <c r="L59" s="433">
        <f>IF(K59=2,questionnaire!S124,IF(K59=3,0.05,0))</f>
        <v>0</v>
      </c>
      <c r="M59" s="461">
        <f>IF(K59=0,0,1)</f>
        <v>0</v>
      </c>
      <c r="N59" s="462">
        <f>IF(AND(K59=2,L59=0),1,0)</f>
        <v>0</v>
      </c>
      <c r="O59" s="265"/>
      <c r="P59" s="244"/>
    </row>
    <row r="60" spans="1:16" ht="12.75">
      <c r="A60" s="325" t="str">
        <f>CONCATENATE(A$56,".2")</f>
        <v>5.2</v>
      </c>
      <c r="B60" s="333"/>
      <c r="C60" s="220" t="s">
        <v>4</v>
      </c>
      <c r="D60" s="104" t="s">
        <v>72</v>
      </c>
      <c r="E60" s="112"/>
      <c r="G60" s="196"/>
      <c r="H60" s="112"/>
      <c r="I60" s="114"/>
      <c r="K60" s="321">
        <v>0</v>
      </c>
      <c r="L60" s="433">
        <f>IF(K60=2,questionnaire!S130,IF(K60=3,0.05,0))</f>
        <v>0</v>
      </c>
      <c r="M60" s="461">
        <f>IF(K60=0,0,1)</f>
        <v>0</v>
      </c>
      <c r="N60" s="462">
        <f>IF(AND(K60=2,L60=0),1,0)</f>
        <v>0</v>
      </c>
      <c r="O60" s="265"/>
      <c r="P60" s="244"/>
    </row>
    <row r="61" spans="2:16" ht="13.5" thickBot="1">
      <c r="B61" s="334"/>
      <c r="C61" s="335"/>
      <c r="D61" s="335"/>
      <c r="E61" s="234"/>
      <c r="F61" s="279"/>
      <c r="G61" s="254"/>
      <c r="H61" s="28"/>
      <c r="I61" s="29"/>
      <c r="N61" s="462"/>
      <c r="O61" s="265"/>
      <c r="P61" s="244"/>
    </row>
    <row r="62" spans="14:16" ht="13.5" thickBot="1">
      <c r="N62" s="462"/>
      <c r="O62" s="265"/>
      <c r="P62" s="244"/>
    </row>
    <row r="63" spans="1:16" ht="12.75">
      <c r="A63" s="325">
        <f>A56+1</f>
        <v>6</v>
      </c>
      <c r="B63" s="331"/>
      <c r="C63" s="332"/>
      <c r="D63" s="332"/>
      <c r="E63" s="233"/>
      <c r="F63" s="275"/>
      <c r="G63" s="248"/>
      <c r="H63" s="23"/>
      <c r="I63" s="24"/>
      <c r="N63" s="462"/>
      <c r="O63" s="265"/>
      <c r="P63" s="244"/>
    </row>
    <row r="64" spans="1:16" s="14" customFormat="1" ht="12.75">
      <c r="A64" s="325" t="str">
        <f>CONCATENATE(A$63,".1")</f>
        <v>6.1</v>
      </c>
      <c r="B64" s="333"/>
      <c r="C64" s="104" t="s">
        <v>76</v>
      </c>
      <c r="D64" s="37"/>
      <c r="E64" s="67"/>
      <c r="F64" s="274" t="s">
        <v>195</v>
      </c>
      <c r="G64" s="247"/>
      <c r="H64" s="4"/>
      <c r="I64" s="26"/>
      <c r="K64" s="320"/>
      <c r="L64" s="435"/>
      <c r="M64" s="453"/>
      <c r="N64" s="463"/>
      <c r="O64" s="265"/>
      <c r="P64" s="244"/>
    </row>
    <row r="65" spans="2:16" s="68" customFormat="1" ht="12.75">
      <c r="B65" s="333"/>
      <c r="C65" s="104" t="s">
        <v>77</v>
      </c>
      <c r="D65" s="37"/>
      <c r="E65" s="67"/>
      <c r="F65" s="276">
        <v>2</v>
      </c>
      <c r="G65" s="249" t="str">
        <f>INDEX(Ameliorations_rendement_chaudiere,F65)</f>
        <v>Remplacer le brûleur </v>
      </c>
      <c r="H65" s="4"/>
      <c r="I65" s="26"/>
      <c r="K65" s="323">
        <v>0</v>
      </c>
      <c r="L65" s="433">
        <f>IF(K65=2,questionnaire!S139,IF(K65=3,0.05,0))</f>
        <v>0</v>
      </c>
      <c r="M65" s="461">
        <f>IF(K65=0,0,1)</f>
        <v>0</v>
      </c>
      <c r="N65" s="462">
        <f>IF(AND(K65=2,L65=0),1,0)</f>
        <v>0</v>
      </c>
      <c r="O65" s="265"/>
      <c r="P65" s="244"/>
    </row>
    <row r="66" spans="2:16" ht="12.75">
      <c r="B66" s="333"/>
      <c r="C66" s="104" t="s">
        <v>40</v>
      </c>
      <c r="D66" s="37"/>
      <c r="E66" s="67"/>
      <c r="F66" s="274" t="s">
        <v>196</v>
      </c>
      <c r="H66" s="4"/>
      <c r="I66" s="26"/>
      <c r="N66" s="462"/>
      <c r="O66" s="265"/>
      <c r="P66" s="244"/>
    </row>
    <row r="67" spans="1:16" ht="24" customHeight="1">
      <c r="A67" s="325" t="str">
        <f>CONCATENATE(A$63,".2")</f>
        <v>6.2</v>
      </c>
      <c r="B67" s="333"/>
      <c r="C67" s="495" t="s">
        <v>105</v>
      </c>
      <c r="D67" s="496"/>
      <c r="E67" s="112"/>
      <c r="F67" s="276">
        <v>2</v>
      </c>
      <c r="G67" s="249" t="str">
        <f>INDEX(Ameliorations_rendement_chaudiere,F67)</f>
        <v>Remplacer le brûleur </v>
      </c>
      <c r="H67" s="112"/>
      <c r="I67" s="114"/>
      <c r="K67" s="321">
        <v>0</v>
      </c>
      <c r="L67" s="433">
        <f>IF(K67=2,questionnaire!S143,IF(K67=3,0.05,0))</f>
        <v>0</v>
      </c>
      <c r="M67" s="461">
        <f>IF(K67=0,0,1)</f>
        <v>0</v>
      </c>
      <c r="N67" s="462">
        <f>IF(AND(K67=2,L67=0),1,0)</f>
        <v>0</v>
      </c>
      <c r="O67" s="265"/>
      <c r="P67" s="244"/>
    </row>
    <row r="68" spans="1:16" ht="12.75">
      <c r="A68" s="342"/>
      <c r="B68" s="343"/>
      <c r="C68" s="105"/>
      <c r="D68" s="312"/>
      <c r="E68" s="235"/>
      <c r="F68" s="267">
        <v>14</v>
      </c>
      <c r="G68" s="255" t="str">
        <f>INDEX(Ameliorations_maintenance_regulation,F68)</f>
        <v>Améliorer la régulation en cascade</v>
      </c>
      <c r="H68" s="73"/>
      <c r="I68" s="70"/>
      <c r="N68" s="462"/>
      <c r="O68" s="265"/>
      <c r="P68" s="244"/>
    </row>
    <row r="69" spans="1:16" s="14" customFormat="1" ht="13.5" thickBot="1">
      <c r="A69" s="325"/>
      <c r="B69" s="334"/>
      <c r="C69" s="335"/>
      <c r="D69" s="335"/>
      <c r="E69" s="234"/>
      <c r="F69" s="279"/>
      <c r="G69" s="254"/>
      <c r="H69" s="28"/>
      <c r="I69" s="29"/>
      <c r="K69" s="320"/>
      <c r="L69" s="435"/>
      <c r="M69" s="453"/>
      <c r="N69" s="463"/>
      <c r="O69" s="265"/>
      <c r="P69" s="244"/>
    </row>
    <row r="70" spans="1:16" s="4" customFormat="1" ht="13.5" thickBot="1">
      <c r="A70" s="325"/>
      <c r="B70" s="2"/>
      <c r="C70" s="2"/>
      <c r="D70" s="2"/>
      <c r="E70" s="14"/>
      <c r="F70" s="274"/>
      <c r="G70" s="247"/>
      <c r="H70"/>
      <c r="I70"/>
      <c r="K70" s="305"/>
      <c r="L70" s="436"/>
      <c r="M70" s="459"/>
      <c r="N70" s="465"/>
      <c r="O70" s="265"/>
      <c r="P70" s="244"/>
    </row>
    <row r="71" spans="2:16" ht="12.75">
      <c r="B71" s="331"/>
      <c r="C71" s="332"/>
      <c r="D71" s="332"/>
      <c r="E71" s="233"/>
      <c r="F71" s="275"/>
      <c r="G71" s="248"/>
      <c r="H71" s="23"/>
      <c r="I71" s="24"/>
      <c r="N71" s="462"/>
      <c r="O71" s="265"/>
      <c r="P71" s="244"/>
    </row>
    <row r="72" spans="1:16" s="14" customFormat="1" ht="12.75">
      <c r="A72" s="325">
        <f>A63+1</f>
        <v>7</v>
      </c>
      <c r="B72" s="333"/>
      <c r="C72" s="104" t="s">
        <v>107</v>
      </c>
      <c r="D72" s="2"/>
      <c r="E72" s="113"/>
      <c r="F72" s="274"/>
      <c r="G72" s="196"/>
      <c r="H72" s="113"/>
      <c r="I72" s="114"/>
      <c r="K72" s="320"/>
      <c r="L72" s="435"/>
      <c r="M72" s="453"/>
      <c r="N72" s="463"/>
      <c r="O72" s="265"/>
      <c r="P72" s="244"/>
    </row>
    <row r="73" spans="2:16" ht="21">
      <c r="B73" s="333"/>
      <c r="C73" s="104" t="s">
        <v>78</v>
      </c>
      <c r="D73" s="37"/>
      <c r="E73" s="113"/>
      <c r="F73" s="268">
        <v>8</v>
      </c>
      <c r="G73" s="256" t="str">
        <f>INDEX(Ameliorations_reseau_emission,F73)</f>
        <v>Améliorer le réseau hydraulique pour valoriser la chaudière à condensation</v>
      </c>
      <c r="H73" s="67"/>
      <c r="I73" s="114"/>
      <c r="K73" s="321">
        <v>0</v>
      </c>
      <c r="L73" s="433">
        <f>IF(K73=2,questionnaire!S151,IF(K73=3,0.05,0))</f>
        <v>0</v>
      </c>
      <c r="M73" s="461">
        <f>IF(K73=0,0,1)</f>
        <v>0</v>
      </c>
      <c r="N73" s="462">
        <f>IF(AND(K73=2,L73=0),1,0)</f>
        <v>0</v>
      </c>
      <c r="O73" s="265"/>
      <c r="P73" s="244"/>
    </row>
    <row r="74" spans="1:14" ht="31.5">
      <c r="A74" s="342"/>
      <c r="B74" s="343"/>
      <c r="C74" s="105" t="s">
        <v>58</v>
      </c>
      <c r="D74" s="344"/>
      <c r="E74" s="236"/>
      <c r="F74" s="267">
        <v>5</v>
      </c>
      <c r="G74" s="255" t="str">
        <f>INDEX(Ameliorations_maintenance_regulation,F74)</f>
        <v>Vérifier les paramètres de régulation de la chaudière à condensation pour permettre la condensation (l'eau arrive froide à la chaudière) </v>
      </c>
      <c r="H74" s="73"/>
      <c r="I74" s="70"/>
      <c r="N74" s="462"/>
    </row>
    <row r="75" spans="1:14" ht="13.5" thickBot="1">
      <c r="A75" s="330"/>
      <c r="B75" s="334"/>
      <c r="C75" s="335"/>
      <c r="D75" s="335"/>
      <c r="E75" s="234"/>
      <c r="F75" s="279"/>
      <c r="G75" s="254"/>
      <c r="H75" s="28"/>
      <c r="I75" s="29"/>
      <c r="N75" s="462"/>
    </row>
    <row r="76" ht="13.5" thickBot="1">
      <c r="N76" s="462"/>
    </row>
    <row r="77" spans="2:14" ht="12.75">
      <c r="B77" s="331"/>
      <c r="C77" s="332"/>
      <c r="D77" s="332"/>
      <c r="E77" s="233"/>
      <c r="F77" s="275"/>
      <c r="G77" s="248"/>
      <c r="H77" s="23"/>
      <c r="I77" s="24"/>
      <c r="N77" s="462"/>
    </row>
    <row r="78" spans="1:14" ht="12.75">
      <c r="A78" s="325">
        <f>A72+1</f>
        <v>8</v>
      </c>
      <c r="B78" s="333"/>
      <c r="C78" s="104" t="s">
        <v>18</v>
      </c>
      <c r="D78" s="313"/>
      <c r="E78" s="113"/>
      <c r="F78" s="276">
        <v>11</v>
      </c>
      <c r="G78" s="249" t="str">
        <f>INDEX(Ameliorations_rendement_chaudiere,F78)</f>
        <v>Etudier la faisabilité de la cogénération</v>
      </c>
      <c r="H78" s="4"/>
      <c r="I78" s="26"/>
      <c r="K78" s="321">
        <v>0</v>
      </c>
      <c r="L78" s="433">
        <f>IF(K78=2,questionnaire!S157,IF(K78=3,0.05,0))</f>
        <v>0</v>
      </c>
      <c r="M78" s="461">
        <f>IF(K78=0,0,1)</f>
        <v>0</v>
      </c>
      <c r="N78" s="462">
        <f>IF(AND(K78=2,L78=0),1,0)</f>
        <v>0</v>
      </c>
    </row>
    <row r="79" spans="1:16" s="4" customFormat="1" ht="13.5" thickBot="1">
      <c r="A79" s="325"/>
      <c r="B79" s="334"/>
      <c r="C79" s="335"/>
      <c r="D79" s="335"/>
      <c r="E79" s="234"/>
      <c r="F79" s="279"/>
      <c r="G79" s="254"/>
      <c r="H79" s="28"/>
      <c r="I79" s="29"/>
      <c r="K79" s="305"/>
      <c r="L79" s="436"/>
      <c r="M79" s="459"/>
      <c r="N79" s="465"/>
      <c r="O79" s="245"/>
      <c r="P79" s="80"/>
    </row>
    <row r="80" spans="1:16" s="14" customFormat="1" ht="13.5" thickBot="1">
      <c r="A80" s="330"/>
      <c r="B80" s="37"/>
      <c r="C80" s="37"/>
      <c r="D80" s="37"/>
      <c r="E80" s="67"/>
      <c r="F80" s="274"/>
      <c r="G80" s="247"/>
      <c r="H80" s="4"/>
      <c r="I80" s="4"/>
      <c r="K80" s="320"/>
      <c r="L80" s="435"/>
      <c r="M80" s="453"/>
      <c r="N80" s="463"/>
      <c r="O80" s="245"/>
      <c r="P80" s="80"/>
    </row>
    <row r="81" spans="2:14" ht="18.75" thickBot="1">
      <c r="B81" s="327" t="s">
        <v>21</v>
      </c>
      <c r="C81" s="328"/>
      <c r="D81" s="329"/>
      <c r="F81" s="287"/>
      <c r="H81" s="4"/>
      <c r="N81" s="462"/>
    </row>
    <row r="82" spans="1:16" s="4" customFormat="1" ht="12.75">
      <c r="A82" s="325"/>
      <c r="B82" s="2"/>
      <c r="C82" s="2"/>
      <c r="D82" s="2"/>
      <c r="E82" s="14"/>
      <c r="F82" s="274"/>
      <c r="G82" s="247"/>
      <c r="I82"/>
      <c r="K82" s="305"/>
      <c r="L82" s="436"/>
      <c r="M82" s="459"/>
      <c r="N82" s="465"/>
      <c r="O82" s="245"/>
      <c r="P82" s="80"/>
    </row>
    <row r="83" spans="1:16" s="14" customFormat="1" ht="18">
      <c r="A83" s="325"/>
      <c r="B83" s="345" t="str">
        <f>questionnaire!B168</f>
        <v>Isolation des conduites</v>
      </c>
      <c r="C83" s="346"/>
      <c r="D83" s="347"/>
      <c r="E83" s="67"/>
      <c r="F83" s="274"/>
      <c r="G83" s="247"/>
      <c r="H83" s="67"/>
      <c r="K83" s="320"/>
      <c r="L83" s="435"/>
      <c r="M83" s="453"/>
      <c r="N83" s="463"/>
      <c r="O83" s="245"/>
      <c r="P83" s="80"/>
    </row>
    <row r="84" spans="8:14" ht="13.5" thickBot="1">
      <c r="H84" s="4"/>
      <c r="N84" s="462"/>
    </row>
    <row r="85" spans="1:16" s="14" customFormat="1" ht="12.75">
      <c r="A85" s="330">
        <f>A78+1</f>
        <v>9</v>
      </c>
      <c r="B85" s="331"/>
      <c r="C85" s="332"/>
      <c r="D85" s="332"/>
      <c r="E85" s="233"/>
      <c r="F85" s="268"/>
      <c r="G85" s="256"/>
      <c r="H85" s="23"/>
      <c r="I85" s="24"/>
      <c r="K85" s="320"/>
      <c r="L85" s="435"/>
      <c r="M85" s="453"/>
      <c r="N85" s="463"/>
      <c r="O85" s="245"/>
      <c r="P85" s="80"/>
    </row>
    <row r="86" spans="1:14" ht="31.5">
      <c r="A86" s="325" t="str">
        <f>CONCATENATE(A$85,".1")</f>
        <v>9.1</v>
      </c>
      <c r="B86" s="333"/>
      <c r="C86" s="495" t="s">
        <v>59</v>
      </c>
      <c r="D86" s="496"/>
      <c r="E86" s="113"/>
      <c r="F86" s="269">
        <v>1</v>
      </c>
      <c r="G86" s="270" t="str">
        <f>INDEX(Ameliorations_reseau_emission,F86)</f>
        <v>Isoler les conduites (ainsi que les vannes) dans les locaux non chauffés en permanence (gaines techniques, faux-plafonds, …)</v>
      </c>
      <c r="H86" s="271"/>
      <c r="I86" s="272"/>
      <c r="K86" s="321">
        <v>0</v>
      </c>
      <c r="L86" s="433">
        <f>IF(K86=2,questionnaire!S172,IF(K86=3,0.05,0))</f>
        <v>0</v>
      </c>
      <c r="M86" s="461">
        <f>IF(K86=0,0,1)</f>
        <v>0</v>
      </c>
      <c r="N86" s="462">
        <f>IF(AND(K86=2,L86=0),1,0)</f>
        <v>0</v>
      </c>
    </row>
    <row r="87" spans="1:16" s="4" customFormat="1" ht="12.75">
      <c r="A87" s="68"/>
      <c r="B87" s="333"/>
      <c r="C87" s="37"/>
      <c r="D87" s="37"/>
      <c r="E87" s="224"/>
      <c r="F87" s="274" t="s">
        <v>95</v>
      </c>
      <c r="G87" s="247"/>
      <c r="I87" s="26"/>
      <c r="K87" s="305"/>
      <c r="L87" s="436"/>
      <c r="M87" s="459"/>
      <c r="N87" s="465"/>
      <c r="O87" s="246"/>
      <c r="P87" s="112"/>
    </row>
    <row r="88" spans="2:14" ht="12.75">
      <c r="B88" s="333"/>
      <c r="C88" s="104" t="s">
        <v>60</v>
      </c>
      <c r="D88" s="109"/>
      <c r="E88" s="113"/>
      <c r="F88" s="268">
        <v>6</v>
      </c>
      <c r="G88" s="256" t="str">
        <f>INDEX(Ameliorations_reseau_emission,F88)</f>
        <v>Isoler les vannes situées sur les conduites isolées</v>
      </c>
      <c r="H88" s="67"/>
      <c r="I88" s="114"/>
      <c r="K88" s="321">
        <v>0</v>
      </c>
      <c r="L88" s="433">
        <f>IF(K88=2,questionnaire!S178,IF(K88=3,0.05,0))</f>
        <v>0</v>
      </c>
      <c r="M88" s="461">
        <f>IF(K88=0,0,1)</f>
        <v>0</v>
      </c>
      <c r="N88" s="462">
        <f>IF(AND(K88=2,L88=0),1,0)</f>
        <v>0</v>
      </c>
    </row>
    <row r="89" spans="1:14" ht="13.5" thickBot="1">
      <c r="A89" s="325" t="str">
        <f>CONCATENATE(A$85,".2")</f>
        <v>9.2</v>
      </c>
      <c r="B89" s="334"/>
      <c r="C89" s="335"/>
      <c r="D89" s="335"/>
      <c r="E89" s="234"/>
      <c r="F89" s="279"/>
      <c r="G89" s="254"/>
      <c r="H89" s="28"/>
      <c r="I89" s="29"/>
      <c r="N89" s="462"/>
    </row>
    <row r="90" spans="1:16" s="14" customFormat="1" ht="12.75">
      <c r="A90" s="325"/>
      <c r="B90" s="2"/>
      <c r="C90" s="2"/>
      <c r="D90" s="2"/>
      <c r="F90" s="274"/>
      <c r="G90" s="247"/>
      <c r="H90"/>
      <c r="I90"/>
      <c r="K90" s="320"/>
      <c r="L90" s="435"/>
      <c r="M90" s="453"/>
      <c r="N90" s="463"/>
      <c r="O90" s="245"/>
      <c r="P90" s="80"/>
    </row>
    <row r="91" spans="1:16" s="14" customFormat="1" ht="18">
      <c r="A91" s="325"/>
      <c r="B91" s="345" t="s">
        <v>147</v>
      </c>
      <c r="C91" s="346"/>
      <c r="D91" s="347"/>
      <c r="E91" s="67"/>
      <c r="F91" s="274"/>
      <c r="G91" s="247"/>
      <c r="H91" s="67"/>
      <c r="K91" s="320"/>
      <c r="L91" s="435"/>
      <c r="M91" s="453"/>
      <c r="N91" s="463"/>
      <c r="O91" s="245"/>
      <c r="P91" s="80"/>
    </row>
    <row r="92" spans="1:16" s="14" customFormat="1" ht="13.5" thickBot="1">
      <c r="A92" s="325"/>
      <c r="B92" s="2"/>
      <c r="C92" s="2"/>
      <c r="D92" s="2"/>
      <c r="F92" s="274"/>
      <c r="G92" s="247"/>
      <c r="H92"/>
      <c r="I92"/>
      <c r="K92" s="320"/>
      <c r="L92" s="435"/>
      <c r="M92" s="453"/>
      <c r="N92" s="463"/>
      <c r="O92" s="245"/>
      <c r="P92" s="80"/>
    </row>
    <row r="93" spans="1:16" s="14" customFormat="1" ht="12.75">
      <c r="A93" s="325"/>
      <c r="B93" s="331"/>
      <c r="C93" s="332"/>
      <c r="D93" s="332"/>
      <c r="E93" s="233"/>
      <c r="F93" s="275"/>
      <c r="G93" s="248"/>
      <c r="H93" s="23"/>
      <c r="I93" s="24"/>
      <c r="K93" s="320"/>
      <c r="L93" s="435"/>
      <c r="M93" s="453"/>
      <c r="N93" s="463"/>
      <c r="O93" s="245"/>
      <c r="P93" s="80"/>
    </row>
    <row r="94" spans="1:16" s="14" customFormat="1" ht="12.75">
      <c r="A94" s="325">
        <f>A85+1</f>
        <v>10</v>
      </c>
      <c r="B94" s="333"/>
      <c r="C94" s="104" t="s">
        <v>81</v>
      </c>
      <c r="D94" s="37"/>
      <c r="E94" s="67"/>
      <c r="F94" s="274" t="s">
        <v>122</v>
      </c>
      <c r="G94" s="247"/>
      <c r="H94" s="4"/>
      <c r="I94" s="26"/>
      <c r="K94" s="320"/>
      <c r="L94" s="435"/>
      <c r="M94" s="453"/>
      <c r="N94" s="463"/>
      <c r="O94" s="245"/>
      <c r="P94" s="80"/>
    </row>
    <row r="95" spans="1:14" ht="21">
      <c r="A95" s="325" t="str">
        <f>CONCATENATE(A$94,".1")</f>
        <v>10.1</v>
      </c>
      <c r="B95" s="333"/>
      <c r="C95" s="220" t="s">
        <v>4</v>
      </c>
      <c r="D95" s="311" t="str">
        <f>questionnaire!D188</f>
        <v>La somme des puissances électriques des circulateurs est-elle inférieure à
2 °/。。 de la puissance des chaudières ?</v>
      </c>
      <c r="E95" s="112"/>
      <c r="F95" s="268">
        <v>2</v>
      </c>
      <c r="G95" s="256" t="str">
        <f>INDEX(Ameliorations_reseau_emission,F95)</f>
        <v>Réduire de vitesse les circulateurs à plusieurs vitesses</v>
      </c>
      <c r="H95" s="112"/>
      <c r="I95" s="114"/>
      <c r="K95" s="321">
        <v>0</v>
      </c>
      <c r="L95" s="433">
        <f>IF(K95=2,questionnaire!S188,IF(K95=3,0.05,0))</f>
        <v>0</v>
      </c>
      <c r="M95" s="461">
        <f>IF(K95=0,0,1)</f>
        <v>0</v>
      </c>
      <c r="N95" s="462">
        <f>IF(AND(K95=2,L95=0),1,0)</f>
        <v>0</v>
      </c>
    </row>
    <row r="96" spans="2:14" ht="12.75">
      <c r="B96" s="333"/>
      <c r="C96" s="220"/>
      <c r="D96" s="313"/>
      <c r="E96" s="112"/>
      <c r="G96" s="196"/>
      <c r="H96" s="112"/>
      <c r="I96" s="114"/>
      <c r="N96" s="462"/>
    </row>
    <row r="97" spans="1:14" ht="21">
      <c r="A97" s="325" t="str">
        <f>CONCATENATE(A$94,".2")</f>
        <v>10.2</v>
      </c>
      <c r="B97" s="333"/>
      <c r="C97" s="220" t="s">
        <v>4</v>
      </c>
      <c r="D97" s="311" t="s">
        <v>62</v>
      </c>
      <c r="E97" s="112"/>
      <c r="F97" s="268">
        <v>3</v>
      </c>
      <c r="G97" s="256" t="str">
        <f>INDEX(Ameliorations_reseau_emission,F97)</f>
        <v>Remplacer les circulateurs existants par des circulateurs à vitesse variable</v>
      </c>
      <c r="H97" s="112"/>
      <c r="I97" s="114"/>
      <c r="K97" s="321">
        <v>0</v>
      </c>
      <c r="L97" s="433">
        <f>IF(K97=2,questionnaire!S194,IF(K97=3,0.05,0))</f>
        <v>0</v>
      </c>
      <c r="M97" s="461">
        <f>IF(K97=0,0,1)</f>
        <v>0</v>
      </c>
      <c r="N97" s="462">
        <f>IF(AND(K97=2,L97=0),1,0)</f>
        <v>0</v>
      </c>
    </row>
    <row r="98" spans="1:16" s="14" customFormat="1" ht="13.5" thickBot="1">
      <c r="A98" s="325"/>
      <c r="B98" s="334"/>
      <c r="C98" s="335"/>
      <c r="D98" s="335"/>
      <c r="E98" s="234"/>
      <c r="F98" s="279"/>
      <c r="G98" s="254"/>
      <c r="H98" s="28"/>
      <c r="I98" s="29"/>
      <c r="K98" s="320"/>
      <c r="L98" s="435"/>
      <c r="M98" s="453"/>
      <c r="N98" s="463"/>
      <c r="O98" s="245"/>
      <c r="P98" s="80"/>
    </row>
    <row r="99" ht="13.5" thickBot="1">
      <c r="N99" s="462"/>
    </row>
    <row r="100" spans="2:14" ht="12.75">
      <c r="B100" s="331"/>
      <c r="C100" s="332"/>
      <c r="D100" s="332"/>
      <c r="E100" s="233"/>
      <c r="F100" s="275"/>
      <c r="G100" s="248"/>
      <c r="H100" s="23"/>
      <c r="I100" s="24"/>
      <c r="N100" s="462"/>
    </row>
    <row r="101" spans="1:14" ht="21">
      <c r="A101" s="325">
        <f>A94+1</f>
        <v>11</v>
      </c>
      <c r="B101" s="333"/>
      <c r="C101" s="104" t="s">
        <v>63</v>
      </c>
      <c r="E101" s="113"/>
      <c r="F101" s="268">
        <v>3</v>
      </c>
      <c r="G101" s="256" t="str">
        <f>INDEX(Ameliorations_reseau_emission,F101)</f>
        <v>Remplacer les circulateurs existants par des circulateurs à vitesse variable</v>
      </c>
      <c r="H101" s="67"/>
      <c r="I101" s="114"/>
      <c r="K101" s="321">
        <v>0</v>
      </c>
      <c r="L101" s="433">
        <f>IF(K101=2,questionnaire!S201,IF(K101=3,0.05,0))</f>
        <v>0</v>
      </c>
      <c r="M101" s="461">
        <f>IF(K101=0,0,1)</f>
        <v>0</v>
      </c>
      <c r="N101" s="462">
        <f>IF(AND(K101=2,L101=0),1,0)</f>
        <v>0</v>
      </c>
    </row>
    <row r="102" spans="2:14" ht="12.75">
      <c r="B102" s="333"/>
      <c r="C102" s="348"/>
      <c r="D102" s="349" t="s">
        <v>64</v>
      </c>
      <c r="E102" s="224"/>
      <c r="H102" s="4"/>
      <c r="I102" s="26"/>
      <c r="N102" s="462"/>
    </row>
    <row r="103" spans="2:14" ht="12.75">
      <c r="B103" s="333"/>
      <c r="C103" s="348"/>
      <c r="D103" s="349" t="s">
        <v>65</v>
      </c>
      <c r="E103" s="224"/>
      <c r="H103" s="4"/>
      <c r="I103" s="26"/>
      <c r="N103" s="462"/>
    </row>
    <row r="104" spans="2:14" ht="12.75">
      <c r="B104" s="333"/>
      <c r="C104" s="348"/>
      <c r="D104" s="349" t="s">
        <v>66</v>
      </c>
      <c r="E104" s="224"/>
      <c r="H104" s="4"/>
      <c r="I104" s="26"/>
      <c r="N104" s="462"/>
    </row>
    <row r="105" spans="2:14" ht="12.75">
      <c r="B105" s="333"/>
      <c r="C105" s="350" t="s">
        <v>29</v>
      </c>
      <c r="D105" s="349"/>
      <c r="E105" s="224"/>
      <c r="H105" s="4"/>
      <c r="I105" s="26"/>
      <c r="N105" s="462"/>
    </row>
    <row r="106" spans="1:16" s="14" customFormat="1" ht="13.5" thickBot="1">
      <c r="A106" s="325"/>
      <c r="B106" s="334"/>
      <c r="C106" s="335"/>
      <c r="D106" s="335"/>
      <c r="E106" s="234"/>
      <c r="F106" s="279"/>
      <c r="G106" s="254"/>
      <c r="H106" s="28"/>
      <c r="I106" s="29"/>
      <c r="K106" s="320"/>
      <c r="L106" s="435"/>
      <c r="M106" s="453"/>
      <c r="N106" s="463"/>
      <c r="O106" s="245"/>
      <c r="P106" s="80"/>
    </row>
    <row r="107" ht="12.75">
      <c r="N107" s="462"/>
    </row>
    <row r="108" spans="1:16" s="14" customFormat="1" ht="18">
      <c r="A108" s="325"/>
      <c r="B108" s="345" t="s">
        <v>22</v>
      </c>
      <c r="C108" s="346"/>
      <c r="D108" s="347"/>
      <c r="E108" s="67"/>
      <c r="F108" s="274"/>
      <c r="G108" s="247"/>
      <c r="H108" s="67"/>
      <c r="K108" s="320"/>
      <c r="L108" s="435"/>
      <c r="M108" s="453"/>
      <c r="N108" s="463"/>
      <c r="O108" s="245"/>
      <c r="P108" s="80"/>
    </row>
    <row r="109" spans="1:16" s="14" customFormat="1" ht="13.5" thickBot="1">
      <c r="A109" s="325"/>
      <c r="B109" s="2"/>
      <c r="C109" s="2"/>
      <c r="D109" s="2"/>
      <c r="F109" s="274"/>
      <c r="G109" s="247"/>
      <c r="H109"/>
      <c r="I109"/>
      <c r="K109" s="320"/>
      <c r="L109" s="435"/>
      <c r="M109" s="453"/>
      <c r="N109" s="463"/>
      <c r="O109" s="245"/>
      <c r="P109" s="80"/>
    </row>
    <row r="110" spans="1:16" s="67" customFormat="1" ht="12.75">
      <c r="A110" s="325"/>
      <c r="B110" s="331"/>
      <c r="C110" s="332"/>
      <c r="D110" s="332"/>
      <c r="E110" s="233"/>
      <c r="F110" s="275"/>
      <c r="G110" s="248"/>
      <c r="H110" s="23"/>
      <c r="I110" s="24"/>
      <c r="K110" s="324"/>
      <c r="L110" s="438"/>
      <c r="M110" s="466"/>
      <c r="N110" s="467"/>
      <c r="O110" s="245"/>
      <c r="P110" s="80"/>
    </row>
    <row r="111" spans="1:14" ht="12.75">
      <c r="A111" s="325">
        <f>A101+1</f>
        <v>12</v>
      </c>
      <c r="B111" s="333"/>
      <c r="C111" s="104" t="s">
        <v>67</v>
      </c>
      <c r="D111" s="109"/>
      <c r="E111" s="113"/>
      <c r="F111" s="268">
        <v>7</v>
      </c>
      <c r="G111" s="256" t="str">
        <f>INDEX(Ameliorations_reseau_emission,F111)</f>
        <v>Adapter le découpage du réseau aux besoins des locaux</v>
      </c>
      <c r="H111" s="67"/>
      <c r="I111" s="114"/>
      <c r="K111" s="321">
        <v>0</v>
      </c>
      <c r="L111" s="433">
        <f>IF(K111=2,questionnaire!S213,IF(K111=3,0.05,0))</f>
        <v>0</v>
      </c>
      <c r="M111" s="461">
        <f>IF(K111=0,0,1)</f>
        <v>0</v>
      </c>
      <c r="N111" s="462">
        <f>IF(AND(K111=2,L111=0),1,0)</f>
        <v>0</v>
      </c>
    </row>
    <row r="112" spans="1:16" s="14" customFormat="1" ht="12.75">
      <c r="A112" s="325"/>
      <c r="B112" s="333"/>
      <c r="C112" s="493"/>
      <c r="D112" s="493"/>
      <c r="E112" s="238"/>
      <c r="F112" s="281"/>
      <c r="G112" s="273"/>
      <c r="H112" s="109"/>
      <c r="I112" s="26"/>
      <c r="K112" s="320"/>
      <c r="L112" s="435"/>
      <c r="M112" s="453"/>
      <c r="N112" s="463"/>
      <c r="O112" s="246"/>
      <c r="P112" s="112"/>
    </row>
    <row r="113" spans="1:14" ht="12.75">
      <c r="A113" s="330"/>
      <c r="B113" s="333"/>
      <c r="C113" s="37" t="s">
        <v>40</v>
      </c>
      <c r="D113" s="37"/>
      <c r="E113" s="67"/>
      <c r="F113" s="274" t="s">
        <v>96</v>
      </c>
      <c r="H113" s="67"/>
      <c r="I113" s="114"/>
      <c r="N113" s="462"/>
    </row>
    <row r="114" spans="1:14" ht="12.75">
      <c r="A114" s="325" t="str">
        <f>CONCATENATE(A111,".",1)</f>
        <v>12.1</v>
      </c>
      <c r="B114" s="333"/>
      <c r="C114" s="104" t="s">
        <v>68</v>
      </c>
      <c r="E114" s="112"/>
      <c r="F114" s="267">
        <v>8</v>
      </c>
      <c r="G114" s="244" t="str">
        <f>INDEX(Ameliorations_maintenance_regulation,F114)</f>
        <v>Equiper les différents circuits d'une régulation indépendante.</v>
      </c>
      <c r="H114" s="112"/>
      <c r="I114" s="114"/>
      <c r="K114" s="321">
        <v>0</v>
      </c>
      <c r="L114" s="433">
        <f>IF(K114=2,questionnaire!S219,IF(K114=3,0.05,0))</f>
        <v>0</v>
      </c>
      <c r="M114" s="461">
        <f>IF(K114=0,0,1)</f>
        <v>0</v>
      </c>
      <c r="N114" s="462">
        <f>IF(AND(K114=2,L114=0),1,0)</f>
        <v>0</v>
      </c>
    </row>
    <row r="115" spans="1:16" s="14" customFormat="1" ht="13.5" thickBot="1">
      <c r="A115" s="325"/>
      <c r="B115" s="334"/>
      <c r="C115" s="335"/>
      <c r="D115" s="335"/>
      <c r="E115" s="234"/>
      <c r="F115" s="279"/>
      <c r="G115" s="254"/>
      <c r="H115" s="28"/>
      <c r="I115" s="29"/>
      <c r="K115" s="320"/>
      <c r="L115" s="435"/>
      <c r="M115" s="453"/>
      <c r="N115" s="463"/>
      <c r="O115" s="245"/>
      <c r="P115" s="80"/>
    </row>
    <row r="116" spans="1:16" s="14" customFormat="1" ht="13.5" thickBot="1">
      <c r="A116" s="325"/>
      <c r="B116" s="2"/>
      <c r="C116" s="2"/>
      <c r="D116" s="2"/>
      <c r="F116" s="274"/>
      <c r="G116" s="247"/>
      <c r="H116"/>
      <c r="I116"/>
      <c r="K116" s="320"/>
      <c r="L116" s="435"/>
      <c r="M116" s="453"/>
      <c r="N116" s="463"/>
      <c r="O116" s="245"/>
      <c r="P116" s="80"/>
    </row>
    <row r="117" spans="2:16" ht="12.75">
      <c r="B117" s="331"/>
      <c r="C117" s="332"/>
      <c r="D117" s="332"/>
      <c r="E117" s="233"/>
      <c r="F117" s="275" t="s">
        <v>113</v>
      </c>
      <c r="G117" s="248"/>
      <c r="H117" s="23"/>
      <c r="I117" s="24"/>
      <c r="N117" s="462"/>
      <c r="O117" s="246"/>
      <c r="P117" s="112"/>
    </row>
    <row r="118" spans="1:14" ht="12.75">
      <c r="A118" s="325">
        <f>A111+1</f>
        <v>13</v>
      </c>
      <c r="B118" s="333"/>
      <c r="C118" s="350" t="s">
        <v>70</v>
      </c>
      <c r="D118" s="37"/>
      <c r="E118" s="113"/>
      <c r="F118" s="268">
        <v>4</v>
      </c>
      <c r="G118" s="256" t="str">
        <f>INDEX(Ameliorations_reseau_emission,F118)</f>
        <v>Équilibrer le réseau hydraulique</v>
      </c>
      <c r="H118" s="67"/>
      <c r="I118" s="114"/>
      <c r="K118" s="321">
        <v>0</v>
      </c>
      <c r="L118" s="433">
        <f>IF(K118=2,questionnaire!S225,IF(K118=3,0.05,0))</f>
        <v>0</v>
      </c>
      <c r="M118" s="461">
        <f>IF(K118=0,0,1)</f>
        <v>0</v>
      </c>
      <c r="N118" s="462">
        <f>IF(AND(K118=2,L118=0),1,0)</f>
        <v>0</v>
      </c>
    </row>
    <row r="119" spans="1:16" s="14" customFormat="1" ht="13.5" thickBot="1">
      <c r="A119" s="325"/>
      <c r="B119" s="334"/>
      <c r="C119" s="335"/>
      <c r="D119" s="335"/>
      <c r="E119" s="234"/>
      <c r="F119" s="279"/>
      <c r="G119" s="254"/>
      <c r="H119" s="28"/>
      <c r="I119" s="29"/>
      <c r="K119" s="320"/>
      <c r="L119" s="435"/>
      <c r="M119" s="453"/>
      <c r="N119" s="463"/>
      <c r="O119" s="245"/>
      <c r="P119" s="80"/>
    </row>
    <row r="120" spans="1:16" s="14" customFormat="1" ht="13.5" thickBot="1">
      <c r="A120" s="325"/>
      <c r="B120" s="2"/>
      <c r="C120" s="2"/>
      <c r="D120" s="2"/>
      <c r="F120" s="274"/>
      <c r="G120" s="247"/>
      <c r="H120"/>
      <c r="I120"/>
      <c r="K120" s="320"/>
      <c r="L120" s="435"/>
      <c r="M120" s="453"/>
      <c r="N120" s="463"/>
      <c r="O120" s="245"/>
      <c r="P120" s="80"/>
    </row>
    <row r="121" spans="2:14" ht="12.75">
      <c r="B121" s="331"/>
      <c r="C121" s="332"/>
      <c r="D121" s="332"/>
      <c r="E121" s="233"/>
      <c r="F121" s="275" t="s">
        <v>114</v>
      </c>
      <c r="G121" s="248"/>
      <c r="H121" s="23"/>
      <c r="I121" s="24"/>
      <c r="N121" s="462"/>
    </row>
    <row r="122" spans="1:14" ht="31.5">
      <c r="A122" s="325">
        <f>A118+1</f>
        <v>14</v>
      </c>
      <c r="B122" s="333"/>
      <c r="C122" s="495" t="s">
        <v>131</v>
      </c>
      <c r="D122" s="495"/>
      <c r="E122" s="112"/>
      <c r="F122" s="268">
        <v>5</v>
      </c>
      <c r="G122" s="256" t="str">
        <f>INDEX(Ameliorations_reseau_emission,F122)</f>
        <v>Equiper le départ des différents circuits de vannes d'équilibrage et les radiateurs/ventilo-convecteurs de tés de réglage, puis équilibrer l'installation.</v>
      </c>
      <c r="H122" s="67"/>
      <c r="I122" s="114"/>
      <c r="K122" s="321">
        <v>0</v>
      </c>
      <c r="L122" s="433">
        <f>IF(K122=2,questionnaire!S231,IF(K122=3,0.05,0))</f>
        <v>0</v>
      </c>
      <c r="M122" s="461">
        <f>IF(K122=0,0,1)</f>
        <v>0</v>
      </c>
      <c r="N122" s="462">
        <f>IF(AND(K122=2,L122=0),1,0)</f>
        <v>0</v>
      </c>
    </row>
    <row r="123" spans="2:14" ht="13.5" thickBot="1">
      <c r="B123" s="334"/>
      <c r="C123" s="335"/>
      <c r="D123" s="335"/>
      <c r="E123" s="234"/>
      <c r="F123" s="279"/>
      <c r="G123" s="254"/>
      <c r="H123" s="28"/>
      <c r="I123" s="29"/>
      <c r="K123" s="305"/>
      <c r="N123" s="462"/>
    </row>
    <row r="124" spans="2:14" ht="12.75">
      <c r="B124" s="37"/>
      <c r="C124" s="37"/>
      <c r="D124" s="37"/>
      <c r="E124" s="67"/>
      <c r="H124" s="4"/>
      <c r="I124" s="4"/>
      <c r="N124" s="462"/>
    </row>
    <row r="125" spans="1:16" s="14" customFormat="1" ht="13.5" thickBot="1">
      <c r="A125" s="325"/>
      <c r="B125" s="2"/>
      <c r="C125" s="2"/>
      <c r="D125" s="2"/>
      <c r="F125" s="287"/>
      <c r="G125" s="247"/>
      <c r="H125"/>
      <c r="I125"/>
      <c r="K125" s="320"/>
      <c r="L125" s="435"/>
      <c r="M125" s="453"/>
      <c r="N125" s="463"/>
      <c r="O125" s="245"/>
      <c r="P125" s="80"/>
    </row>
    <row r="126" spans="2:14" ht="18.75" thickBot="1">
      <c r="B126" s="327" t="s">
        <v>9</v>
      </c>
      <c r="C126" s="328"/>
      <c r="D126" s="329"/>
      <c r="H126" s="4"/>
      <c r="N126" s="462"/>
    </row>
    <row r="127" spans="3:14" ht="19.5">
      <c r="C127" s="351"/>
      <c r="D127" s="326"/>
      <c r="H127" s="4"/>
      <c r="N127" s="462"/>
    </row>
    <row r="128" spans="11:14" ht="12.75">
      <c r="K128" s="305"/>
      <c r="N128" s="462"/>
    </row>
    <row r="129" spans="1:16" s="14" customFormat="1" ht="18">
      <c r="A129" s="330"/>
      <c r="B129" s="345" t="s">
        <v>31</v>
      </c>
      <c r="C129" s="346"/>
      <c r="D129" s="347"/>
      <c r="E129" s="67"/>
      <c r="F129" s="274"/>
      <c r="G129" s="247"/>
      <c r="H129" s="67"/>
      <c r="I129" s="67"/>
      <c r="K129" s="324"/>
      <c r="L129" s="435"/>
      <c r="M129" s="453"/>
      <c r="N129" s="463"/>
      <c r="O129" s="245"/>
      <c r="P129" s="80"/>
    </row>
    <row r="130" spans="1:16" s="14" customFormat="1" ht="13.5" thickBot="1">
      <c r="A130" s="325"/>
      <c r="B130" s="37"/>
      <c r="C130" s="37"/>
      <c r="D130" s="37"/>
      <c r="E130" s="67"/>
      <c r="F130" s="274"/>
      <c r="G130" s="247"/>
      <c r="H130" s="4"/>
      <c r="I130" s="4"/>
      <c r="K130" s="324"/>
      <c r="L130" s="435"/>
      <c r="M130" s="453"/>
      <c r="N130" s="463"/>
      <c r="O130" s="245"/>
      <c r="P130" s="80"/>
    </row>
    <row r="131" spans="1:16" s="14" customFormat="1" ht="12.75">
      <c r="A131" s="325"/>
      <c r="B131" s="331"/>
      <c r="C131" s="332"/>
      <c r="D131" s="332"/>
      <c r="E131" s="233"/>
      <c r="F131" s="275"/>
      <c r="G131" s="248"/>
      <c r="H131" s="23"/>
      <c r="I131" s="24"/>
      <c r="K131" s="320"/>
      <c r="L131" s="435"/>
      <c r="M131" s="453"/>
      <c r="N131" s="463"/>
      <c r="O131" s="246"/>
      <c r="P131" s="112"/>
    </row>
    <row r="132" spans="1:16" s="14" customFormat="1" ht="12.75">
      <c r="A132" s="325">
        <f>A122+1</f>
        <v>15</v>
      </c>
      <c r="B132" s="333"/>
      <c r="C132" s="104" t="s">
        <v>82</v>
      </c>
      <c r="D132" s="37"/>
      <c r="E132" s="67"/>
      <c r="F132" s="267">
        <v>1</v>
      </c>
      <c r="G132" s="244" t="str">
        <f>INDEX(Ameliorations_maintenance_regulation,F132)</f>
        <v>Arrêter l'installation de chauffage la nuit et le week-end</v>
      </c>
      <c r="H132" s="67"/>
      <c r="I132" s="114"/>
      <c r="K132" s="320">
        <v>0</v>
      </c>
      <c r="L132" s="433">
        <f>IF(K132=2,questionnaire!S244,IF(K132=3,0.05,0))</f>
        <v>0</v>
      </c>
      <c r="M132" s="461">
        <f>IF(K132=0,0,1)</f>
        <v>0</v>
      </c>
      <c r="N132" s="462">
        <f>IF(AND(K132=2,L132=0),1,0)</f>
        <v>0</v>
      </c>
      <c r="O132" s="245"/>
      <c r="P132" s="80"/>
    </row>
    <row r="133" spans="1:16" s="14" customFormat="1" ht="12.75">
      <c r="A133" s="325"/>
      <c r="B133" s="333"/>
      <c r="C133" s="104" t="s">
        <v>40</v>
      </c>
      <c r="D133" s="37"/>
      <c r="E133" s="67"/>
      <c r="F133" s="446" t="s">
        <v>199</v>
      </c>
      <c r="G133" s="247"/>
      <c r="H133" s="67"/>
      <c r="I133" s="114"/>
      <c r="K133" s="320"/>
      <c r="L133" s="435"/>
      <c r="M133" s="453"/>
      <c r="N133" s="463"/>
      <c r="O133" s="245"/>
      <c r="P133" s="80"/>
    </row>
    <row r="134" spans="1:16" s="14" customFormat="1" ht="12.75">
      <c r="A134" s="325"/>
      <c r="B134" s="333"/>
      <c r="C134" s="104"/>
      <c r="D134" s="37"/>
      <c r="E134" s="67"/>
      <c r="F134" s="274"/>
      <c r="H134" s="67"/>
      <c r="I134" s="114"/>
      <c r="K134" s="320"/>
      <c r="L134" s="435"/>
      <c r="M134" s="453"/>
      <c r="N134" s="463"/>
      <c r="O134" s="245"/>
      <c r="P134" s="80"/>
    </row>
    <row r="135" spans="2:16" s="14" customFormat="1" ht="12.75">
      <c r="B135" s="333"/>
      <c r="C135" s="2"/>
      <c r="D135" s="104"/>
      <c r="E135" s="113"/>
      <c r="F135" s="274" t="s">
        <v>209</v>
      </c>
      <c r="G135" s="255"/>
      <c r="H135" s="67"/>
      <c r="I135" s="114"/>
      <c r="K135" s="320"/>
      <c r="L135" s="433"/>
      <c r="M135" s="464"/>
      <c r="N135" s="463"/>
      <c r="O135" s="245"/>
      <c r="P135" s="80"/>
    </row>
    <row r="136" spans="1:16" ht="23.25" customHeight="1">
      <c r="A136" s="325" t="str">
        <f>CONCATENATE(A$132,".",1)</f>
        <v>15.1</v>
      </c>
      <c r="B136" s="333"/>
      <c r="D136" s="104" t="str">
        <f>questionnaire!D249</f>
        <v>le ralenti de nuit est-il contrôlé par une sonde d'ambiance ?</v>
      </c>
      <c r="E136" s="113"/>
      <c r="F136" s="447">
        <v>2</v>
      </c>
      <c r="G136" s="448" t="str">
        <f>INDEX(Ameliorations_maintenance_regulation,F136)</f>
        <v>Pratiquer un ralenti par coupure complète de l'installation, contrôlée par thermostat d'ambiance</v>
      </c>
      <c r="H136" s="228"/>
      <c r="I136" s="229"/>
      <c r="K136" s="321">
        <v>0</v>
      </c>
      <c r="L136" s="433">
        <f>IF(K136=2,questionnaire!S249,IF(K136=3,0.05,0))</f>
        <v>0</v>
      </c>
      <c r="M136" s="461">
        <f>IF(K136=0,0,1)</f>
        <v>0</v>
      </c>
      <c r="N136" s="462">
        <f>IF(AND(K136=2,L136=0),1,0)</f>
        <v>0</v>
      </c>
      <c r="O136" s="246"/>
      <c r="P136" s="112"/>
    </row>
    <row r="137" spans="2:16" ht="18.75" customHeight="1">
      <c r="B137" s="333"/>
      <c r="D137" s="104"/>
      <c r="E137" s="113"/>
      <c r="F137" s="274" t="s">
        <v>210</v>
      </c>
      <c r="G137" s="255"/>
      <c r="H137" s="67"/>
      <c r="I137" s="114"/>
      <c r="L137" s="433"/>
      <c r="M137" s="464"/>
      <c r="N137" s="462"/>
      <c r="O137" s="246"/>
      <c r="P137" s="112"/>
    </row>
    <row r="138" spans="1:16" s="4" customFormat="1" ht="55.5" customHeight="1">
      <c r="A138" s="325" t="str">
        <f>CONCATENATE(A$132,".",2)</f>
        <v>15.2</v>
      </c>
      <c r="B138" s="333"/>
      <c r="C138" s="37"/>
      <c r="D138" s="104" t="s">
        <v>32</v>
      </c>
      <c r="E138" s="197"/>
      <c r="F138" s="447">
        <v>3</v>
      </c>
      <c r="G138" s="448" t="str">
        <f>INDEX(Ameliorations_maintenance_regulation,F138)</f>
        <v>Remplacer l'horloge afin de pouvoir programmer le fonctionnement de l'installation conformément à l'utilisation du bâtiment (en fonction du jour de la semaine, des jours de congé,…)</v>
      </c>
      <c r="H138" s="228"/>
      <c r="I138" s="229"/>
      <c r="K138" s="305">
        <v>0</v>
      </c>
      <c r="L138" s="433">
        <f>IF(K138=2,questionnaire!S254,IF(K138=3,0.05,0))</f>
        <v>0</v>
      </c>
      <c r="M138" s="461">
        <f>IF(K138=0,0,1)</f>
        <v>0</v>
      </c>
      <c r="N138" s="462">
        <f>IF(AND(K138=2,L138=0),1,0)</f>
        <v>0</v>
      </c>
      <c r="O138" s="245"/>
      <c r="P138" s="80"/>
    </row>
    <row r="139" spans="1:16" s="4" customFormat="1" ht="21" customHeight="1">
      <c r="A139" s="325"/>
      <c r="B139" s="333"/>
      <c r="C139" s="37"/>
      <c r="D139" s="104"/>
      <c r="E139" s="197"/>
      <c r="F139" s="274" t="s">
        <v>212</v>
      </c>
      <c r="G139" s="255"/>
      <c r="H139" s="67"/>
      <c r="I139" s="114"/>
      <c r="K139" s="305"/>
      <c r="L139" s="433"/>
      <c r="M139" s="464"/>
      <c r="N139" s="465"/>
      <c r="O139" s="245"/>
      <c r="P139" s="80"/>
    </row>
    <row r="140" spans="1:14" ht="21">
      <c r="A140" s="325" t="str">
        <f>CONCATENATE(A$132,".",3)</f>
        <v>15.3</v>
      </c>
      <c r="B140" s="333"/>
      <c r="C140" s="104"/>
      <c r="D140" s="104" t="s">
        <v>211</v>
      </c>
      <c r="E140" s="113"/>
      <c r="F140" s="267">
        <v>7</v>
      </c>
      <c r="G140" s="255" t="str">
        <f>INDEX(Ameliorations_maintenance_regulation,F140)</f>
        <v>Adapter les horaires de la régulation aux horaires d'occupation réels du bâtiment</v>
      </c>
      <c r="H140" s="67"/>
      <c r="I140" s="114"/>
      <c r="K140" s="321">
        <v>0</v>
      </c>
      <c r="L140" s="433">
        <f>IF(K140=2,questionnaire!S260,IF(K140=3,0.05,0))</f>
        <v>0</v>
      </c>
      <c r="M140" s="461">
        <f>IF(K140=0,0,1)</f>
        <v>0</v>
      </c>
      <c r="N140" s="462">
        <f>IF(AND(K140=2,L140=0),1,0)</f>
        <v>0</v>
      </c>
    </row>
    <row r="141" spans="1:16" s="14" customFormat="1" ht="13.5" thickBot="1">
      <c r="A141" s="330"/>
      <c r="B141" s="334"/>
      <c r="C141" s="335"/>
      <c r="D141" s="335"/>
      <c r="E141" s="234"/>
      <c r="F141" s="279"/>
      <c r="G141" s="254"/>
      <c r="H141" s="28"/>
      <c r="I141" s="29"/>
      <c r="K141" s="320"/>
      <c r="L141" s="435"/>
      <c r="M141" s="453"/>
      <c r="N141" s="463"/>
      <c r="O141" s="266"/>
      <c r="P141" s="237"/>
    </row>
    <row r="142" spans="1:16" s="14" customFormat="1" ht="13.5" thickBot="1">
      <c r="A142" s="325"/>
      <c r="B142" s="2"/>
      <c r="C142" s="2"/>
      <c r="D142" s="2"/>
      <c r="F142" s="274"/>
      <c r="G142" s="247"/>
      <c r="H142"/>
      <c r="I142"/>
      <c r="K142" s="320"/>
      <c r="L142" s="435"/>
      <c r="M142" s="453"/>
      <c r="N142" s="463"/>
      <c r="O142" s="245"/>
      <c r="P142" s="80"/>
    </row>
    <row r="143" spans="2:14" ht="12.75">
      <c r="B143" s="331"/>
      <c r="C143" s="332"/>
      <c r="D143" s="332"/>
      <c r="E143" s="233"/>
      <c r="F143" s="275"/>
      <c r="G143" s="248"/>
      <c r="H143" s="23"/>
      <c r="I143" s="24"/>
      <c r="N143" s="462"/>
    </row>
    <row r="144" spans="1:16" ht="12.75">
      <c r="A144" s="325">
        <f>A132+1</f>
        <v>16</v>
      </c>
      <c r="B144" s="333"/>
      <c r="C144" s="104" t="s">
        <v>108</v>
      </c>
      <c r="D144" s="37"/>
      <c r="E144" s="113"/>
      <c r="F144" s="267">
        <v>4</v>
      </c>
      <c r="G144" s="244" t="str">
        <f>INDEX(Ameliorations_maintenance_regulation,F144)</f>
        <v>Arrêter les circulateurs lorsqu'il n'y a pas de besoin de chauffage </v>
      </c>
      <c r="H144" s="67"/>
      <c r="I144" s="114"/>
      <c r="K144" s="321">
        <v>0</v>
      </c>
      <c r="L144" s="433">
        <f>IF(K144=2,questionnaire!S266,IF(K144=3,0.05,0))</f>
        <v>0</v>
      </c>
      <c r="M144" s="461">
        <f>IF(K144=0,0,1)</f>
        <v>0</v>
      </c>
      <c r="N144" s="462">
        <f>IF(AND(K144=2,L144=0),1,0)</f>
        <v>0</v>
      </c>
      <c r="O144" s="246"/>
      <c r="P144" s="112"/>
    </row>
    <row r="145" spans="2:14" ht="13.5" thickBot="1">
      <c r="B145" s="334"/>
      <c r="C145" s="335"/>
      <c r="D145" s="335"/>
      <c r="E145" s="234"/>
      <c r="F145" s="279"/>
      <c r="G145" s="254"/>
      <c r="H145" s="28"/>
      <c r="I145" s="29"/>
      <c r="K145" s="305"/>
      <c r="N145" s="462"/>
    </row>
    <row r="146" spans="2:14" ht="13.5" thickBot="1">
      <c r="B146" s="333"/>
      <c r="C146" s="37"/>
      <c r="D146" s="37"/>
      <c r="E146" s="67"/>
      <c r="H146" s="4"/>
      <c r="I146" s="26"/>
      <c r="K146" s="305"/>
      <c r="N146" s="462"/>
    </row>
    <row r="147" spans="1:16" s="14" customFormat="1" ht="12.75">
      <c r="A147" s="325"/>
      <c r="B147" s="331"/>
      <c r="C147" s="332"/>
      <c r="D147" s="332"/>
      <c r="E147" s="233"/>
      <c r="F147" s="275"/>
      <c r="G147" s="248"/>
      <c r="H147" s="23"/>
      <c r="I147" s="24"/>
      <c r="K147" s="320"/>
      <c r="L147" s="435"/>
      <c r="M147" s="453"/>
      <c r="N147" s="463"/>
      <c r="O147" s="245"/>
      <c r="P147" s="80"/>
    </row>
    <row r="148" spans="1:16" s="14" customFormat="1" ht="12.75">
      <c r="A148" s="325">
        <f>A144+1</f>
        <v>17</v>
      </c>
      <c r="B148" s="333"/>
      <c r="C148" s="352" t="s">
        <v>83</v>
      </c>
      <c r="D148" s="37"/>
      <c r="E148" s="67"/>
      <c r="F148" s="274"/>
      <c r="G148" s="247"/>
      <c r="H148" s="4"/>
      <c r="I148" s="26"/>
      <c r="K148" s="320"/>
      <c r="L148" s="435"/>
      <c r="M148" s="453"/>
      <c r="N148" s="463"/>
      <c r="O148" s="245"/>
      <c r="P148" s="80"/>
    </row>
    <row r="149" spans="1:16" s="14" customFormat="1" ht="24.75" customHeight="1">
      <c r="A149" s="325" t="str">
        <f>CONCATENATE(A$148,".",1)</f>
        <v>17.1</v>
      </c>
      <c r="B149" s="333"/>
      <c r="C149" s="495" t="s">
        <v>84</v>
      </c>
      <c r="D149" s="496"/>
      <c r="E149" s="113"/>
      <c r="F149" s="267">
        <v>13</v>
      </c>
      <c r="G149" s="244" t="str">
        <f>INDEX(Ameliorations_maintenance_regulation,F149)</f>
        <v>Arrêter la chaudière en été</v>
      </c>
      <c r="H149" s="67"/>
      <c r="I149" s="114"/>
      <c r="K149" s="320">
        <v>0</v>
      </c>
      <c r="L149" s="433">
        <f>IF(K149=2,questionnaire!S274,IF(K149=3,0.05,0))</f>
        <v>0</v>
      </c>
      <c r="M149" s="461">
        <f>IF(K149=0,0,1)</f>
        <v>0</v>
      </c>
      <c r="N149" s="462">
        <f>IF(AND(K149=2,L149=0),1,0)</f>
        <v>0</v>
      </c>
      <c r="O149" s="245"/>
      <c r="P149" s="80"/>
    </row>
    <row r="150" spans="1:14" ht="34.5" customHeight="1">
      <c r="A150" s="325" t="str">
        <f>CONCATENATE(A$148,".",2)</f>
        <v>17.2</v>
      </c>
      <c r="B150" s="333"/>
      <c r="C150" s="495" t="s">
        <v>85</v>
      </c>
      <c r="D150" s="496"/>
      <c r="E150" s="113"/>
      <c r="F150" s="267">
        <v>12</v>
      </c>
      <c r="G150" s="244" t="str">
        <f>INDEX(Ameliorations_maintenance_regulation,F150)</f>
        <v>Réguler l'aquastat pour qu'en été, en dehors des périodes de préparation de l'eau chaude sanitaire, la température de la chaudière retombe à 20°C</v>
      </c>
      <c r="H150" s="67"/>
      <c r="I150" s="114"/>
      <c r="K150" s="321">
        <v>0</v>
      </c>
      <c r="L150" s="433">
        <f>IF(K150=2,questionnaire!S280,IF(K150=3,0.05,0))</f>
        <v>0</v>
      </c>
      <c r="M150" s="461">
        <f>IF(K150=0,0,1)</f>
        <v>0</v>
      </c>
      <c r="N150" s="462">
        <f>IF(AND(K150=2,L150=0),1,0)</f>
        <v>0</v>
      </c>
    </row>
    <row r="151" spans="2:14" ht="13.5" thickBot="1">
      <c r="B151" s="334"/>
      <c r="C151" s="335"/>
      <c r="D151" s="335"/>
      <c r="E151" s="234"/>
      <c r="F151" s="279"/>
      <c r="G151" s="254"/>
      <c r="H151" s="28"/>
      <c r="I151" s="29"/>
      <c r="N151" s="462"/>
    </row>
    <row r="152" spans="2:14" ht="12.75">
      <c r="B152" s="37"/>
      <c r="C152" s="37"/>
      <c r="D152" s="37"/>
      <c r="E152" s="67"/>
      <c r="H152" s="4"/>
      <c r="I152" s="4"/>
      <c r="N152" s="462"/>
    </row>
    <row r="153" spans="1:14" ht="18">
      <c r="A153" s="330"/>
      <c r="B153" s="345" t="s">
        <v>34</v>
      </c>
      <c r="C153" s="346"/>
      <c r="D153" s="347"/>
      <c r="E153" s="67"/>
      <c r="H153" s="67"/>
      <c r="I153" s="67"/>
      <c r="N153" s="462"/>
    </row>
    <row r="154" spans="1:16" s="4" customFormat="1" ht="12.75">
      <c r="A154" s="325"/>
      <c r="B154" s="37"/>
      <c r="C154" s="37"/>
      <c r="D154" s="37"/>
      <c r="E154" s="67"/>
      <c r="F154" s="274"/>
      <c r="G154" s="247"/>
      <c r="K154" s="305"/>
      <c r="L154" s="436"/>
      <c r="M154" s="459"/>
      <c r="N154" s="465"/>
      <c r="O154" s="245"/>
      <c r="P154" s="80"/>
    </row>
    <row r="155" spans="1:16" s="14" customFormat="1" ht="13.5" thickBot="1">
      <c r="A155" s="325"/>
      <c r="B155" s="2"/>
      <c r="C155" s="2"/>
      <c r="D155" s="2"/>
      <c r="F155" s="274"/>
      <c r="G155" s="247"/>
      <c r="H155"/>
      <c r="I155"/>
      <c r="K155" s="320"/>
      <c r="L155" s="435"/>
      <c r="M155" s="453"/>
      <c r="N155" s="463"/>
      <c r="O155" s="245"/>
      <c r="P155" s="80"/>
    </row>
    <row r="156" spans="2:14" ht="12.75">
      <c r="B156" s="331"/>
      <c r="C156" s="332"/>
      <c r="D156" s="332"/>
      <c r="E156" s="233"/>
      <c r="F156" s="275"/>
      <c r="G156" s="248"/>
      <c r="H156" s="23"/>
      <c r="I156" s="24"/>
      <c r="N156" s="462"/>
    </row>
    <row r="157" spans="1:16" ht="24" customHeight="1">
      <c r="A157" s="325">
        <f>A148+1</f>
        <v>18</v>
      </c>
      <c r="B157" s="333"/>
      <c r="C157" s="104" t="s">
        <v>151</v>
      </c>
      <c r="D157" s="37"/>
      <c r="E157" s="113"/>
      <c r="F157" s="267">
        <v>6</v>
      </c>
      <c r="G157" s="244" t="str">
        <f>INDEX(Ameliorations_maintenance_regulation,F157)</f>
        <v>Placer un thermostat d'ambiance de compensation</v>
      </c>
      <c r="H157" s="67"/>
      <c r="I157" s="114"/>
      <c r="K157" s="321">
        <v>0</v>
      </c>
      <c r="L157" s="433">
        <f>IF(K157=2,questionnaire!S291,IF(K157=3,0.05,0))</f>
        <v>0</v>
      </c>
      <c r="M157" s="461">
        <f>IF(K157=0,0,1)</f>
        <v>0</v>
      </c>
      <c r="N157" s="462">
        <f>IF(AND(K157=2,L157=0),1,0)</f>
        <v>0</v>
      </c>
      <c r="O157" s="246"/>
      <c r="P157" s="112"/>
    </row>
    <row r="158" spans="2:16" ht="24" customHeight="1">
      <c r="B158" s="333"/>
      <c r="C158" s="104"/>
      <c r="D158" s="37"/>
      <c r="E158" s="113"/>
      <c r="F158" s="267">
        <v>9</v>
      </c>
      <c r="G158" s="244" t="str">
        <f>INDEX(Ameliorations_maintenance_regulation,F158)</f>
        <v>Corriger le réglage des courbes de chauffe </v>
      </c>
      <c r="H158" s="67"/>
      <c r="I158" s="114"/>
      <c r="L158" s="433"/>
      <c r="M158" s="464"/>
      <c r="N158" s="462"/>
      <c r="O158" s="246"/>
      <c r="P158" s="112"/>
    </row>
    <row r="159" spans="2:16" ht="24" customHeight="1">
      <c r="B159" s="333"/>
      <c r="C159" s="104"/>
      <c r="D159" s="37"/>
      <c r="E159" s="113"/>
      <c r="F159" s="267">
        <v>10</v>
      </c>
      <c r="G159" s="244" t="str">
        <f>INDEX(Ameliorations_maintenance_regulation,F159)</f>
        <v>Placer des vannes thermostatiques dans les locaux où il y a surchauffe</v>
      </c>
      <c r="H159" s="67"/>
      <c r="I159" s="114"/>
      <c r="L159" s="433"/>
      <c r="M159" s="464"/>
      <c r="N159" s="462"/>
      <c r="O159" s="246"/>
      <c r="P159" s="112"/>
    </row>
    <row r="160" spans="2:14" ht="13.5" thickBot="1">
      <c r="B160" s="334"/>
      <c r="C160" s="335"/>
      <c r="D160" s="335"/>
      <c r="E160" s="234"/>
      <c r="F160" s="279"/>
      <c r="G160" s="254"/>
      <c r="H160" s="28"/>
      <c r="I160" s="29"/>
      <c r="K160" s="305"/>
      <c r="N160" s="462"/>
    </row>
    <row r="161" spans="14:16" ht="12.75">
      <c r="N161" s="462"/>
      <c r="O161" s="246"/>
      <c r="P161" s="112"/>
    </row>
    <row r="162" spans="1:14" ht="18">
      <c r="A162" s="330"/>
      <c r="B162" s="345" t="s">
        <v>36</v>
      </c>
      <c r="C162" s="346"/>
      <c r="D162" s="347"/>
      <c r="E162" s="67"/>
      <c r="H162" s="67"/>
      <c r="I162" s="67"/>
      <c r="N162" s="462"/>
    </row>
    <row r="163" spans="1:16" s="14" customFormat="1" ht="12.75">
      <c r="A163" s="325"/>
      <c r="B163" s="2"/>
      <c r="C163" s="2"/>
      <c r="D163" s="2"/>
      <c r="F163" s="274"/>
      <c r="G163" s="247"/>
      <c r="H163"/>
      <c r="I163"/>
      <c r="K163" s="320"/>
      <c r="L163" s="435"/>
      <c r="M163" s="453"/>
      <c r="N163" s="463"/>
      <c r="O163" s="245"/>
      <c r="P163" s="80"/>
    </row>
    <row r="164" spans="3:14" ht="15.75" thickBot="1">
      <c r="C164" s="326"/>
      <c r="D164" s="353"/>
      <c r="N164" s="462"/>
    </row>
    <row r="165" spans="2:14" ht="12.75">
      <c r="B165" s="331"/>
      <c r="C165" s="332"/>
      <c r="D165" s="332"/>
      <c r="E165" s="233"/>
      <c r="F165" s="275"/>
      <c r="G165" s="248"/>
      <c r="H165" s="23"/>
      <c r="I165" s="24"/>
      <c r="N165" s="462"/>
    </row>
    <row r="166" spans="1:14" ht="21">
      <c r="A166" s="325">
        <f>A157+1</f>
        <v>19</v>
      </c>
      <c r="B166" s="333"/>
      <c r="C166" s="104" t="s">
        <v>27</v>
      </c>
      <c r="D166" s="109"/>
      <c r="E166" s="113"/>
      <c r="F166" s="267">
        <v>10</v>
      </c>
      <c r="G166" s="255" t="str">
        <f>INDEX(Ameliorations_maintenance_regulation,F166)</f>
        <v>Placer des vannes thermostatiques dans les locaux où il y a surchauffe</v>
      </c>
      <c r="H166" s="67"/>
      <c r="I166" s="114"/>
      <c r="K166" s="321">
        <v>0</v>
      </c>
      <c r="L166" s="433">
        <f>IF(K166=2,questionnaire!S300,IF(K166=3,0.05,0))</f>
        <v>0</v>
      </c>
      <c r="M166" s="461">
        <f>IF(K166=0,0,1)</f>
        <v>0</v>
      </c>
      <c r="N166" s="462">
        <f>IF(AND(K166=2,L166=0),1,0)</f>
        <v>0</v>
      </c>
    </row>
    <row r="167" spans="1:16" s="14" customFormat="1" ht="13.5" thickBot="1">
      <c r="A167" s="325"/>
      <c r="B167" s="334"/>
      <c r="C167" s="335"/>
      <c r="D167" s="335"/>
      <c r="E167" s="234"/>
      <c r="F167" s="279"/>
      <c r="G167" s="254"/>
      <c r="H167" s="28"/>
      <c r="I167" s="29"/>
      <c r="K167" s="320"/>
      <c r="L167" s="435"/>
      <c r="M167" s="453"/>
      <c r="N167" s="463"/>
      <c r="O167" s="245"/>
      <c r="P167" s="80"/>
    </row>
    <row r="168" spans="1:16" s="14" customFormat="1" ht="12.75">
      <c r="A168" s="325"/>
      <c r="B168" s="2"/>
      <c r="C168" s="2"/>
      <c r="D168" s="2"/>
      <c r="F168" s="274"/>
      <c r="G168" s="247"/>
      <c r="H168"/>
      <c r="I168"/>
      <c r="K168" s="320"/>
      <c r="L168" s="435"/>
      <c r="M168" s="453"/>
      <c r="N168" s="463"/>
      <c r="O168" s="245"/>
      <c r="P168" s="80"/>
    </row>
    <row r="169" spans="1:16" s="14" customFormat="1" ht="18">
      <c r="A169" s="325"/>
      <c r="B169" s="345" t="s">
        <v>25</v>
      </c>
      <c r="C169" s="346"/>
      <c r="D169" s="347"/>
      <c r="E169" s="67"/>
      <c r="F169" s="274"/>
      <c r="G169" s="247"/>
      <c r="H169" s="67"/>
      <c r="K169" s="320"/>
      <c r="L169" s="435"/>
      <c r="M169" s="453"/>
      <c r="N169" s="463"/>
      <c r="O169" s="245"/>
      <c r="P169" s="80"/>
    </row>
    <row r="170" spans="8:14" ht="13.5" thickBot="1">
      <c r="H170" s="4"/>
      <c r="N170" s="462"/>
    </row>
    <row r="171" spans="2:14" ht="12.75">
      <c r="B171" s="331"/>
      <c r="C171" s="332"/>
      <c r="D171" s="332"/>
      <c r="E171" s="233"/>
      <c r="F171" s="275"/>
      <c r="G171" s="248"/>
      <c r="H171" s="23"/>
      <c r="I171" s="24"/>
      <c r="N171" s="462"/>
    </row>
    <row r="172" spans="1:14" ht="12.75">
      <c r="A172" s="325">
        <f>A166+1</f>
        <v>20</v>
      </c>
      <c r="B172" s="333"/>
      <c r="C172" s="104" t="s">
        <v>79</v>
      </c>
      <c r="D172" s="350"/>
      <c r="E172" s="113"/>
      <c r="F172" s="267">
        <v>11</v>
      </c>
      <c r="G172" s="244" t="str">
        <f>INDEX(Ameliorations_maintenance_regulation,F172)</f>
        <v>Contrôler les brûleurs plusieurs fois par an</v>
      </c>
      <c r="H172" s="67"/>
      <c r="I172" s="114"/>
      <c r="K172" s="321">
        <v>0</v>
      </c>
      <c r="L172" s="433">
        <f>IF(K172=2,questionnaire!S308,IF(K172=3,0.05,0))</f>
        <v>0</v>
      </c>
      <c r="M172" s="461">
        <f>IF(K172=0,0,1)</f>
        <v>0</v>
      </c>
      <c r="N172" s="462">
        <f>IF(AND(K172=2,L172=0),1,0)</f>
        <v>0</v>
      </c>
    </row>
    <row r="173" spans="2:14" ht="12.75">
      <c r="B173" s="333"/>
      <c r="C173" s="105" t="s">
        <v>30</v>
      </c>
      <c r="D173" s="104"/>
      <c r="E173" s="67"/>
      <c r="H173" s="4"/>
      <c r="I173" s="26"/>
      <c r="N173" s="462"/>
    </row>
    <row r="174" spans="1:16" s="14" customFormat="1" ht="13.5" thickBot="1">
      <c r="A174" s="325"/>
      <c r="B174" s="334"/>
      <c r="C174" s="335"/>
      <c r="D174" s="335"/>
      <c r="E174" s="234"/>
      <c r="F174" s="279"/>
      <c r="G174" s="254"/>
      <c r="H174" s="28"/>
      <c r="I174" s="29"/>
      <c r="K174" s="320"/>
      <c r="L174" s="435"/>
      <c r="M174" s="453"/>
      <c r="N174" s="463"/>
      <c r="O174" s="245"/>
      <c r="P174" s="80"/>
    </row>
    <row r="175" spans="1:16" s="14" customFormat="1" ht="13.5" thickBot="1">
      <c r="A175" s="325"/>
      <c r="B175" s="333"/>
      <c r="C175" s="37"/>
      <c r="D175" s="37"/>
      <c r="E175" s="67"/>
      <c r="F175" s="274"/>
      <c r="G175" s="247"/>
      <c r="H175" s="4"/>
      <c r="I175" s="26"/>
      <c r="K175" s="320"/>
      <c r="L175" s="435"/>
      <c r="M175" s="453"/>
      <c r="N175" s="463"/>
      <c r="O175" s="245"/>
      <c r="P175" s="80"/>
    </row>
    <row r="176" spans="2:14" ht="14.25" customHeight="1">
      <c r="B176" s="331"/>
      <c r="C176" s="332"/>
      <c r="D176" s="332"/>
      <c r="E176" s="233"/>
      <c r="F176" s="275"/>
      <c r="G176" s="248"/>
      <c r="H176" s="23"/>
      <c r="I176" s="24"/>
      <c r="N176" s="462"/>
    </row>
    <row r="177" spans="1:14" ht="14.25" customHeight="1">
      <c r="A177" s="325">
        <f>A172+1</f>
        <v>21</v>
      </c>
      <c r="B177" s="333"/>
      <c r="C177" s="350" t="s">
        <v>37</v>
      </c>
      <c r="E177" s="113"/>
      <c r="F177" s="267">
        <v>17</v>
      </c>
      <c r="G177" s="244" t="str">
        <f>INDEX(Ameliorations_maintenance_regulation,F177)</f>
        <v>Chercher la cause de l'insuffisance d'eau, l'origine de la fuite</v>
      </c>
      <c r="H177" s="67"/>
      <c r="I177" s="114"/>
      <c r="K177" s="321">
        <v>0</v>
      </c>
      <c r="L177" s="433">
        <f>IF(K177=2,questionnaire!S314,IF(K177=3,0.05,0))</f>
        <v>0</v>
      </c>
      <c r="M177" s="461">
        <f>IF(K177=0,0,1)</f>
        <v>0</v>
      </c>
      <c r="N177" s="462">
        <f>IF(AND(K177=2,L177=0),1,0)</f>
        <v>0</v>
      </c>
    </row>
    <row r="178" spans="1:16" s="14" customFormat="1" ht="13.5" thickBot="1">
      <c r="A178" s="325"/>
      <c r="B178" s="334"/>
      <c r="C178" s="335"/>
      <c r="D178" s="335"/>
      <c r="E178" s="234"/>
      <c r="F178" s="279"/>
      <c r="G178" s="254"/>
      <c r="H178" s="28"/>
      <c r="I178" s="29"/>
      <c r="K178" s="320"/>
      <c r="L178" s="435"/>
      <c r="M178" s="453"/>
      <c r="N178" s="463"/>
      <c r="O178" s="245"/>
      <c r="P178" s="80"/>
    </row>
    <row r="179" ht="13.5" thickBot="1">
      <c r="N179" s="462"/>
    </row>
    <row r="180" spans="2:14" ht="12.75">
      <c r="B180" s="331"/>
      <c r="C180" s="332"/>
      <c r="D180" s="332"/>
      <c r="E180" s="233"/>
      <c r="F180" s="275"/>
      <c r="G180" s="248"/>
      <c r="H180" s="23"/>
      <c r="I180" s="24"/>
      <c r="L180" s="433"/>
      <c r="M180" s="464"/>
      <c r="N180" s="462"/>
    </row>
    <row r="181" spans="1:14" ht="12.75">
      <c r="A181" s="325">
        <f>A177+1</f>
        <v>22</v>
      </c>
      <c r="B181" s="333"/>
      <c r="C181" s="350" t="s">
        <v>86</v>
      </c>
      <c r="E181" s="113"/>
      <c r="F181" s="267">
        <v>16</v>
      </c>
      <c r="G181" s="244" t="str">
        <f>INDEX(Ameliorations_maintenance_regulation,F181)</f>
        <v>Remplacer le vase d'expansion</v>
      </c>
      <c r="H181" s="67"/>
      <c r="I181" s="114"/>
      <c r="K181" s="321">
        <v>0</v>
      </c>
      <c r="L181" s="433">
        <f>IF(K181=2,questionnaire!S320,IF(K181=3,0.05,0))</f>
        <v>0</v>
      </c>
      <c r="M181" s="461">
        <f>IF(K181=0,0,1)</f>
        <v>0</v>
      </c>
      <c r="N181" s="462">
        <f>IF(AND(K181=2,L181=0),1,0)</f>
        <v>0</v>
      </c>
    </row>
    <row r="182" spans="2:14" ht="13.5" thickBot="1">
      <c r="B182" s="334"/>
      <c r="C182" s="335"/>
      <c r="D182" s="335"/>
      <c r="E182" s="234"/>
      <c r="F182" s="279"/>
      <c r="G182" s="254"/>
      <c r="H182" s="28"/>
      <c r="I182" s="29"/>
      <c r="N182" s="462"/>
    </row>
    <row r="183" spans="2:14" ht="12.75">
      <c r="B183" s="37"/>
      <c r="C183" s="37"/>
      <c r="D183" s="37"/>
      <c r="E183" s="67"/>
      <c r="H183" s="4"/>
      <c r="I183" s="4"/>
      <c r="N183" s="462"/>
    </row>
    <row r="184" spans="7:16" ht="12.75">
      <c r="G184" s="449" t="s">
        <v>223</v>
      </c>
      <c r="N184" s="462"/>
      <c r="O184" s="246"/>
      <c r="P184" s="112"/>
    </row>
    <row r="185" spans="3:14" ht="15">
      <c r="C185" s="326"/>
      <c r="D185" s="353"/>
      <c r="G185" s="450" t="s">
        <v>220</v>
      </c>
      <c r="M185" s="462">
        <f>SUM(M6:M181)</f>
        <v>0</v>
      </c>
      <c r="N185" s="462"/>
    </row>
    <row r="186" spans="2:14" ht="17.25" thickBot="1">
      <c r="B186" s="354"/>
      <c r="C186" s="355"/>
      <c r="D186" s="355"/>
      <c r="E186" s="50"/>
      <c r="F186" s="282"/>
      <c r="G186" s="451" t="s">
        <v>221</v>
      </c>
      <c r="H186" s="4"/>
      <c r="M186" s="468">
        <v>42</v>
      </c>
      <c r="N186" s="462"/>
    </row>
    <row r="187" spans="7:14" ht="13.5" thickBot="1">
      <c r="G187" s="452" t="s">
        <v>222</v>
      </c>
      <c r="M187" s="469">
        <f>M186-M185</f>
        <v>42</v>
      </c>
      <c r="N187" s="462"/>
    </row>
    <row r="188" ht="13.5" thickBot="1">
      <c r="N188" s="462"/>
    </row>
    <row r="189" spans="7:14" ht="13.5" thickBot="1">
      <c r="G189" s="529" t="s">
        <v>224</v>
      </c>
      <c r="H189" s="530"/>
      <c r="I189" s="530"/>
      <c r="J189" s="530"/>
      <c r="K189" s="530"/>
      <c r="N189" s="469">
        <f>SUM(N6:N181)</f>
        <v>0</v>
      </c>
    </row>
    <row r="534" ht="12.75">
      <c r="K534" s="321">
        <v>2</v>
      </c>
    </row>
  </sheetData>
  <mergeCells count="7">
    <mergeCell ref="G189:K189"/>
    <mergeCell ref="C67:D67"/>
    <mergeCell ref="C150:D150"/>
    <mergeCell ref="C86:D86"/>
    <mergeCell ref="C112:D112"/>
    <mergeCell ref="C122:D122"/>
    <mergeCell ref="C149:D149"/>
  </mergeCells>
  <printOptions/>
  <pageMargins left="0.5905511811023623" right="0.3937007874015748" top="0.7874015748031497" bottom="0.984251968503937" header="0.5118110236220472" footer="0.5118110236220472"/>
  <pageSetup fitToHeight="0" fitToWidth="1" horizontalDpi="355" verticalDpi="355" orientation="portrait" paperSize="9" scale="72" r:id="rId1"/>
  <headerFooter alignWithMargins="0">
    <oddFooter>&amp;L&amp;8IBGE - 25/03/02&amp;R&amp;8Page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U169"/>
  <sheetViews>
    <sheetView workbookViewId="0" topLeftCell="A27">
      <pane xSplit="8325" topLeftCell="H1" activePane="topRight" state="split"/>
      <selection pane="topLeft" activeCell="D8" sqref="D8"/>
      <selection pane="topRight" activeCell="H22" sqref="H22"/>
    </sheetView>
  </sheetViews>
  <sheetFormatPr defaultColWidth="11.421875" defaultRowHeight="12.75"/>
  <cols>
    <col min="1" max="1" width="3.00390625" style="307" customWidth="1"/>
    <col min="2" max="2" width="2.7109375" style="4" customWidth="1"/>
    <col min="3" max="3" width="53.00390625" style="4" customWidth="1"/>
    <col min="4" max="4" width="31.421875" style="4" customWidth="1"/>
    <col min="5" max="5" width="13.00390625" style="388" customWidth="1"/>
    <col min="6" max="6" width="4.140625" style="4" customWidth="1"/>
    <col min="7" max="7" width="4.421875" style="4" customWidth="1"/>
    <col min="8" max="8" width="5.00390625" style="4" customWidth="1"/>
    <col min="9" max="9" width="4.28125" style="8" customWidth="1"/>
    <col min="10" max="10" width="7.8515625" style="4" customWidth="1"/>
    <col min="11" max="11" width="11.421875" style="4" customWidth="1"/>
    <col min="12" max="35" width="3.28125" style="4" customWidth="1"/>
    <col min="36" max="37" width="4.7109375" style="4" customWidth="1"/>
    <col min="38" max="38" width="4.421875" style="4" customWidth="1"/>
    <col min="39" max="47" width="4.7109375" style="4" customWidth="1"/>
    <col min="48" max="16384" width="11.421875" style="4" customWidth="1"/>
  </cols>
  <sheetData>
    <row r="1" spans="1:38" ht="22.5" customHeight="1">
      <c r="A1" s="425" t="s">
        <v>41</v>
      </c>
      <c r="N1" t="s">
        <v>5</v>
      </c>
      <c r="O1"/>
      <c r="AL1"/>
    </row>
    <row r="2" ht="3.75" customHeight="1"/>
    <row r="3" spans="1:5" ht="22.5" customHeight="1">
      <c r="A3" s="424" t="s">
        <v>139</v>
      </c>
      <c r="E3" s="389"/>
    </row>
    <row r="4" spans="1:40" ht="51.75" customHeight="1">
      <c r="A4" s="308"/>
      <c r="C4" s="7"/>
      <c r="D4" s="7"/>
      <c r="E4" s="389"/>
      <c r="F4" s="531" t="s">
        <v>0</v>
      </c>
      <c r="G4" s="533" t="s">
        <v>1</v>
      </c>
      <c r="H4" s="539" t="s">
        <v>2</v>
      </c>
      <c r="I4" s="541" t="s">
        <v>3</v>
      </c>
      <c r="AK4" s="531" t="s">
        <v>0</v>
      </c>
      <c r="AL4" s="533" t="s">
        <v>1</v>
      </c>
      <c r="AM4" s="535" t="s">
        <v>2</v>
      </c>
      <c r="AN4" s="537" t="s">
        <v>116</v>
      </c>
    </row>
    <row r="5" spans="1:40" ht="24.75">
      <c r="A5" s="308"/>
      <c r="C5" s="5"/>
      <c r="D5" s="5"/>
      <c r="E5" s="389"/>
      <c r="F5" s="532"/>
      <c r="G5" s="534"/>
      <c r="H5" s="540"/>
      <c r="I5" s="542"/>
      <c r="K5" s="4"/>
      <c r="AK5" s="532"/>
      <c r="AL5" s="534"/>
      <c r="AM5" s="536"/>
      <c r="AN5" s="538"/>
    </row>
    <row r="6" spans="1:40" ht="21" customHeight="1">
      <c r="A6" s="308"/>
      <c r="E6" s="389"/>
      <c r="F6" s="532"/>
      <c r="G6" s="534"/>
      <c r="H6" s="540"/>
      <c r="I6" s="542"/>
      <c r="K6" s="4"/>
      <c r="AK6" s="532"/>
      <c r="AL6" s="534"/>
      <c r="AM6" s="536"/>
      <c r="AN6" s="538"/>
    </row>
    <row r="7" spans="1:40" ht="21" customHeight="1">
      <c r="A7" s="308"/>
      <c r="E7" s="389"/>
      <c r="F7" s="391"/>
      <c r="G7" s="392"/>
      <c r="H7" s="402"/>
      <c r="I7" s="410"/>
      <c r="K7" s="4"/>
      <c r="AK7" s="391"/>
      <c r="AL7" s="392"/>
      <c r="AM7" s="9">
        <v>1</v>
      </c>
      <c r="AN7" s="10"/>
    </row>
    <row r="8" spans="1:40" s="14" customFormat="1" ht="21" customHeight="1">
      <c r="A8" s="17" t="s">
        <v>12</v>
      </c>
      <c r="E8" s="390"/>
      <c r="F8" s="18"/>
      <c r="G8" s="19"/>
      <c r="H8" s="403"/>
      <c r="I8" s="411"/>
      <c r="AK8" s="18"/>
      <c r="AL8" s="19"/>
      <c r="AM8" s="20">
        <v>2</v>
      </c>
      <c r="AN8" s="21"/>
    </row>
    <row r="9" spans="1:40" ht="21" customHeight="1">
      <c r="A9" s="11"/>
      <c r="D9" s="75"/>
      <c r="E9" s="389"/>
      <c r="F9" s="12"/>
      <c r="G9" s="13"/>
      <c r="H9" s="402"/>
      <c r="I9" s="410"/>
      <c r="K9" s="4" t="s">
        <v>6</v>
      </c>
      <c r="L9" s="40">
        <v>27</v>
      </c>
      <c r="M9" s="44"/>
      <c r="N9" s="40">
        <v>18</v>
      </c>
      <c r="O9" s="44"/>
      <c r="P9" s="40">
        <v>12</v>
      </c>
      <c r="Q9" s="44"/>
      <c r="R9" s="40">
        <v>9</v>
      </c>
      <c r="S9" s="44"/>
      <c r="T9" s="40">
        <v>8</v>
      </c>
      <c r="U9" s="44"/>
      <c r="V9" s="40">
        <v>6</v>
      </c>
      <c r="W9" s="44"/>
      <c r="X9" s="40">
        <v>4</v>
      </c>
      <c r="Y9" s="44"/>
      <c r="Z9" s="40">
        <v>3</v>
      </c>
      <c r="AA9" s="44"/>
      <c r="AB9" s="40">
        <v>2</v>
      </c>
      <c r="AC9" s="44"/>
      <c r="AD9" s="40">
        <v>1</v>
      </c>
      <c r="AE9" s="44"/>
      <c r="AF9" s="40" t="s">
        <v>42</v>
      </c>
      <c r="AG9" s="41"/>
      <c r="AH9" s="40">
        <v>0</v>
      </c>
      <c r="AI9" s="41"/>
      <c r="AK9" s="12"/>
      <c r="AL9" s="13"/>
      <c r="AM9" s="9">
        <v>3</v>
      </c>
      <c r="AN9" s="10"/>
    </row>
    <row r="10" spans="1:47" ht="38.25">
      <c r="A10" s="309">
        <f>'liste améliorations'!A7</f>
        <v>1</v>
      </c>
      <c r="B10" s="2"/>
      <c r="C10" s="71" t="str">
        <f>'liste améliorations'!B7</f>
        <v>Remplacer la chaudière et le brûleur</v>
      </c>
      <c r="D10" s="76" t="s">
        <v>189</v>
      </c>
      <c r="E10" s="439" t="str">
        <f>'liste améliorations'!B8</f>
        <v>Jusqu'à 15%</v>
      </c>
      <c r="F10" s="291">
        <f>'liste améliorations'!C7</f>
        <v>3</v>
      </c>
      <c r="G10" s="292">
        <f>'liste améliorations'!D7</f>
        <v>2</v>
      </c>
      <c r="H10" s="404">
        <f>IF(OR('liens Q R'!K6=2,AND('liens Q R'!K10=2,'liens Q R'!K15=1,'liens Q R'!K17=1,'liens Q R'!K21=1,'liens Q R'!K25=1),AND('liens Q R'!K10=2,'liens Q R'!K23=2)),MAX('liens Q R'!L6,'liens Q R'!L10,'liens Q R'!L15,'liens Q R'!L17,'liens Q R'!L21,'liens Q R'!L23,'liens Q R'!L25),IF(OR('liens Q R'!K6=3,AND(OR('liens Q R'!K10=2,'liens Q R'!K10=3),OR('liens Q R'!K15=1,'liens Q R'!K15=3),OR('liens Q R'!K17=1,'liens Q R'!K17=3),OR('liens Q R'!K21=1,'liens Q R'!K21=3),OR('liens Q R'!K25=1,'liens Q R'!K25=3)),AND(OR('liens Q R'!K10=2,'liens Q R'!K10=3),OR('liens Q R'!K23=2,'liens Q R'!K23=3))),0.05,0))</f>
        <v>0</v>
      </c>
      <c r="I10" s="412">
        <f aca="true" t="shared" si="0" ref="I10:I21">+F10*G10*H10</f>
        <v>0</v>
      </c>
      <c r="K10" s="45">
        <f aca="true" t="shared" si="1" ref="K10:K22">L10+N10+P10+R10+T10+V10+X10+Z10+AB10+AD10+AF10+AH10</f>
        <v>1</v>
      </c>
      <c r="L10" s="42">
        <f>IF(I10=27,1,0)</f>
        <v>0</v>
      </c>
      <c r="M10" s="43">
        <f>IF(I10=27,1,0)</f>
        <v>0</v>
      </c>
      <c r="N10" s="42">
        <f>IF($I10=N$9,M22+1,0)</f>
        <v>0</v>
      </c>
      <c r="O10" s="43">
        <f>IF($I10=N$9,N10,M22)</f>
        <v>0</v>
      </c>
      <c r="P10" s="42">
        <f>IF($I10=P$9,O22+1,0)</f>
        <v>0</v>
      </c>
      <c r="Q10" s="43">
        <f>IF($I10=P$9,P10,O22)</f>
        <v>0</v>
      </c>
      <c r="R10" s="42">
        <f>IF($I10=R$9,Q22+1,0)</f>
        <v>0</v>
      </c>
      <c r="S10" s="43">
        <f>IF($I10=R$9,R10,Q22)</f>
        <v>0</v>
      </c>
      <c r="T10" s="42">
        <f>IF($I10=T$9,S22+1,0)</f>
        <v>0</v>
      </c>
      <c r="U10" s="43">
        <f>IF($I10=T$9,T10,S22)</f>
        <v>0</v>
      </c>
      <c r="V10" s="42">
        <f>IF($I10=V$9,U22+1,0)</f>
        <v>0</v>
      </c>
      <c r="W10" s="43">
        <f>IF($I10=V$9,V10,U22)</f>
        <v>0</v>
      </c>
      <c r="X10" s="42">
        <f>IF($I10=X$9,W22+1,0)</f>
        <v>0</v>
      </c>
      <c r="Y10" s="43">
        <f>IF($I10=X$9,X10,W22)</f>
        <v>0</v>
      </c>
      <c r="Z10" s="42">
        <f>IF($I10=Z$9,Y22+1,0)</f>
        <v>0</v>
      </c>
      <c r="AA10" s="43">
        <f>IF($I10=Z$9,Z10,Y22)</f>
        <v>0</v>
      </c>
      <c r="AB10" s="42">
        <f>IF($I10=AB$9,AA22+1,0)</f>
        <v>0</v>
      </c>
      <c r="AC10" s="43">
        <f>IF($I10=AB$9,AB10,AA22)</f>
        <v>0</v>
      </c>
      <c r="AD10" s="42">
        <f>IF($I10=AD$9,AC22+1,0)</f>
        <v>0</v>
      </c>
      <c r="AE10" s="43">
        <f>IF($I10=AD$9,AD10,AC22)</f>
        <v>0</v>
      </c>
      <c r="AF10" s="42">
        <f>IF(AND($I10&gt;0,$I10&lt;1),AE22+1,0)</f>
        <v>0</v>
      </c>
      <c r="AG10" s="43">
        <f>IF(AND($I10&gt;0,$I10&lt;1),AF10,AE22)</f>
        <v>0</v>
      </c>
      <c r="AH10" s="42">
        <f>IF($I10=AH$9,AG22+1,0)</f>
        <v>1</v>
      </c>
      <c r="AI10" s="43">
        <f>IF($I10=AH$9,AH10,AG22)</f>
        <v>1</v>
      </c>
      <c r="AJ10" s="39"/>
      <c r="AK10" s="291" t="str">
        <f>IF(I10=0," ",F10)</f>
        <v> </v>
      </c>
      <c r="AL10" s="292" t="str">
        <f>IF(I10=0," ",G10)</f>
        <v> </v>
      </c>
      <c r="AM10" s="36" t="str">
        <f aca="true" t="shared" si="2" ref="AM10:AM21">IF(H10&lt;1," ",H10)</f>
        <v> </v>
      </c>
      <c r="AN10" s="65" t="str">
        <f aca="true" t="shared" si="3" ref="AN10:AN21">IF(I10=0," ",IF(I10&lt;1,"-",I10))</f>
        <v> </v>
      </c>
      <c r="AO10" s="39"/>
      <c r="AP10" s="39"/>
      <c r="AQ10" s="39"/>
      <c r="AR10" s="39"/>
      <c r="AS10" s="39"/>
      <c r="AT10" s="39"/>
      <c r="AU10" s="39"/>
    </row>
    <row r="11" spans="1:40" ht="25.5">
      <c r="A11" s="309">
        <f>'liste améliorations'!A19</f>
        <v>7</v>
      </c>
      <c r="B11" s="2"/>
      <c r="C11" s="71" t="str">
        <f>'liste améliorations'!B19</f>
        <v>Améliorer le réglage du brûleur : Régler le registre d'air et la tête de combustion</v>
      </c>
      <c r="D11" s="76" t="s">
        <v>217</v>
      </c>
      <c r="E11" s="439" t="str">
        <f>'liste améliorations'!B20</f>
        <v>…1%... De la consommation de chauffage pour un suivi saisonnier du réglage</v>
      </c>
      <c r="F11" s="293">
        <f>'liste améliorations'!C19</f>
        <v>1</v>
      </c>
      <c r="G11" s="294">
        <f>'liste améliorations'!D19</f>
        <v>3</v>
      </c>
      <c r="H11" s="404">
        <f>IF(AND(OR('liens Q R'!K10=2,'liens Q R'!K10=3),OR('liens Q R'!K15=2,'liens Q R'!K15=3,'liens Q R'!K17=2,'liens Q R'!K17=3,'liens Q R'!K19=2,'liens Q R'!K19=3,'liens Q R'!K21=2,'liens Q R'!K21=3,'liens Q R'!K25=2,'liens Q R'!K25=3)),'liens Q R'!L10,0)</f>
        <v>0</v>
      </c>
      <c r="I11" s="412">
        <f>+F11*G11*H11</f>
        <v>0</v>
      </c>
      <c r="J11" s="58"/>
      <c r="K11" s="45">
        <f t="shared" si="1"/>
        <v>2</v>
      </c>
      <c r="L11" s="42">
        <f aca="true" t="shared" si="4" ref="L11:L22">IF($I11=L$9,M10+1,0)</f>
        <v>0</v>
      </c>
      <c r="M11" s="43">
        <f aca="true" t="shared" si="5" ref="M11:M22">IF($I11=L$9,L11,M10)</f>
        <v>0</v>
      </c>
      <c r="N11" s="42">
        <f aca="true" t="shared" si="6" ref="N11:N22">IF($I11=N$9,O10+1,0)</f>
        <v>0</v>
      </c>
      <c r="O11" s="43">
        <f aca="true" t="shared" si="7" ref="O11:O22">IF($I11=N$9,N11,O10)</f>
        <v>0</v>
      </c>
      <c r="P11" s="42">
        <f aca="true" t="shared" si="8" ref="P11:P22">IF($I11=P$9,Q10+1,0)</f>
        <v>0</v>
      </c>
      <c r="Q11" s="43">
        <f aca="true" t="shared" si="9" ref="Q11:Q22">IF($I11=P$9,P11,Q10)</f>
        <v>0</v>
      </c>
      <c r="R11" s="42">
        <f aca="true" t="shared" si="10" ref="R11:R22">IF($I11=R$9,S10+1,0)</f>
        <v>0</v>
      </c>
      <c r="S11" s="43">
        <f aca="true" t="shared" si="11" ref="S11:S22">IF($I11=R$9,R11,S10)</f>
        <v>0</v>
      </c>
      <c r="T11" s="42">
        <f aca="true" t="shared" si="12" ref="T11:T22">IF($I11=T$9,U10+1,0)</f>
        <v>0</v>
      </c>
      <c r="U11" s="43">
        <f aca="true" t="shared" si="13" ref="U11:U22">IF($I11=T$9,T11,U10)</f>
        <v>0</v>
      </c>
      <c r="V11" s="42">
        <f aca="true" t="shared" si="14" ref="V11:V22">IF($I11=V$9,W10+1,0)</f>
        <v>0</v>
      </c>
      <c r="W11" s="43">
        <f aca="true" t="shared" si="15" ref="W11:W22">IF($I11=V$9,V11,W10)</f>
        <v>0</v>
      </c>
      <c r="X11" s="42">
        <f aca="true" t="shared" si="16" ref="X11:X22">IF($I11=X$9,Y10+1,0)</f>
        <v>0</v>
      </c>
      <c r="Y11" s="43">
        <f aca="true" t="shared" si="17" ref="Y11:Y22">IF($I11=X$9,X11,Y10)</f>
        <v>0</v>
      </c>
      <c r="Z11" s="42">
        <f aca="true" t="shared" si="18" ref="Z11:Z22">IF($I11=Z$9,AA10+1,0)</f>
        <v>0</v>
      </c>
      <c r="AA11" s="43">
        <f aca="true" t="shared" si="19" ref="AA11:AA22">IF($I11=Z$9,Z11,AA10)</f>
        <v>0</v>
      </c>
      <c r="AB11" s="42">
        <f aca="true" t="shared" si="20" ref="AB11:AB22">IF($I11=AB$9,AC10+1,0)</f>
        <v>0</v>
      </c>
      <c r="AC11" s="43">
        <f aca="true" t="shared" si="21" ref="AC11:AC22">IF($I11=AB$9,AB11,AC10)</f>
        <v>0</v>
      </c>
      <c r="AD11" s="42">
        <f aca="true" t="shared" si="22" ref="AD11:AD22">IF($I11=AD$9,AE10+1,0)</f>
        <v>0</v>
      </c>
      <c r="AE11" s="43">
        <f aca="true" t="shared" si="23" ref="AE11:AE22">IF($I11=AD$9,AD11,AE10)</f>
        <v>0</v>
      </c>
      <c r="AF11" s="42">
        <f aca="true" t="shared" si="24" ref="AF11:AF22">IF(AND($I11&gt;0,$I11&lt;1),AG10+1,0)</f>
        <v>0</v>
      </c>
      <c r="AG11" s="43">
        <f aca="true" t="shared" si="25" ref="AG11:AG22">IF(AND($I11&gt;0,$I11&lt;1),AF11,AG10)</f>
        <v>0</v>
      </c>
      <c r="AH11" s="42">
        <f aca="true" t="shared" si="26" ref="AH11:AH22">IF($I11=AH$9,AI10+1,0)</f>
        <v>2</v>
      </c>
      <c r="AI11" s="43">
        <f aca="true" t="shared" si="27" ref="AI11:AI22">IF($I11=AH$9,AH11,AI10)</f>
        <v>2</v>
      </c>
      <c r="AK11" s="291" t="str">
        <f>IF(I11=0," ",F11)</f>
        <v> </v>
      </c>
      <c r="AL11" s="292" t="str">
        <f>IF(I11=0," ",G11)</f>
        <v> </v>
      </c>
      <c r="AM11" s="36" t="str">
        <f>IF(H11&lt;1," ",H11)</f>
        <v> </v>
      </c>
      <c r="AN11" s="65" t="str">
        <f>IF(I11=0," ",IF(I11&lt;1,"-",I11))</f>
        <v> </v>
      </c>
    </row>
    <row r="12" spans="1:40" ht="25.5">
      <c r="A12" s="309">
        <f>'liste améliorations'!A21</f>
        <v>8</v>
      </c>
      <c r="B12" s="2"/>
      <c r="C12" s="71" t="str">
        <f>'liste améliorations'!B21</f>
        <v>Colmater les inétanchéités de la chaudière (portes, entre éléments en fonte) </v>
      </c>
      <c r="D12" s="76"/>
      <c r="E12" s="439" t="str">
        <f>'liste améliorations'!B22</f>
        <v>…1%...</v>
      </c>
      <c r="F12" s="293">
        <f>'liste améliorations'!C21</f>
        <v>1</v>
      </c>
      <c r="G12" s="294">
        <f>'liste améliorations'!D21</f>
        <v>3</v>
      </c>
      <c r="H12" s="404">
        <f>IF(OR('liens Q R'!K10=2,'liens Q R'!K10=3),'liens Q R'!L15,0)</f>
        <v>0</v>
      </c>
      <c r="I12" s="412">
        <f t="shared" si="0"/>
        <v>0</v>
      </c>
      <c r="J12" s="58"/>
      <c r="K12" s="45">
        <f t="shared" si="1"/>
        <v>3</v>
      </c>
      <c r="L12" s="42">
        <f t="shared" si="4"/>
        <v>0</v>
      </c>
      <c r="M12" s="43">
        <f t="shared" si="5"/>
        <v>0</v>
      </c>
      <c r="N12" s="42">
        <f t="shared" si="6"/>
        <v>0</v>
      </c>
      <c r="O12" s="43">
        <f t="shared" si="7"/>
        <v>0</v>
      </c>
      <c r="P12" s="42">
        <f t="shared" si="8"/>
        <v>0</v>
      </c>
      <c r="Q12" s="43">
        <f t="shared" si="9"/>
        <v>0</v>
      </c>
      <c r="R12" s="42">
        <f t="shared" si="10"/>
        <v>0</v>
      </c>
      <c r="S12" s="43">
        <f t="shared" si="11"/>
        <v>0</v>
      </c>
      <c r="T12" s="42">
        <f t="shared" si="12"/>
        <v>0</v>
      </c>
      <c r="U12" s="43">
        <f t="shared" si="13"/>
        <v>0</v>
      </c>
      <c r="V12" s="42">
        <f t="shared" si="14"/>
        <v>0</v>
      </c>
      <c r="W12" s="43">
        <f t="shared" si="15"/>
        <v>0</v>
      </c>
      <c r="X12" s="42">
        <f t="shared" si="16"/>
        <v>0</v>
      </c>
      <c r="Y12" s="43">
        <f t="shared" si="17"/>
        <v>0</v>
      </c>
      <c r="Z12" s="42">
        <f t="shared" si="18"/>
        <v>0</v>
      </c>
      <c r="AA12" s="43">
        <f t="shared" si="19"/>
        <v>0</v>
      </c>
      <c r="AB12" s="42">
        <f t="shared" si="20"/>
        <v>0</v>
      </c>
      <c r="AC12" s="43">
        <f t="shared" si="21"/>
        <v>0</v>
      </c>
      <c r="AD12" s="42">
        <f t="shared" si="22"/>
        <v>0</v>
      </c>
      <c r="AE12" s="43">
        <f t="shared" si="23"/>
        <v>0</v>
      </c>
      <c r="AF12" s="42">
        <f t="shared" si="24"/>
        <v>0</v>
      </c>
      <c r="AG12" s="43">
        <f t="shared" si="25"/>
        <v>0</v>
      </c>
      <c r="AH12" s="42">
        <f t="shared" si="26"/>
        <v>3</v>
      </c>
      <c r="AI12" s="43">
        <f t="shared" si="27"/>
        <v>3</v>
      </c>
      <c r="AK12" s="291" t="str">
        <f aca="true" t="shared" si="28" ref="AK12:AK21">IF(I12=0," ",F12)</f>
        <v> </v>
      </c>
      <c r="AL12" s="292" t="str">
        <f aca="true" t="shared" si="29" ref="AL12:AL21">IF(I12=0," ",G12)</f>
        <v> </v>
      </c>
      <c r="AM12" s="36" t="str">
        <f t="shared" si="2"/>
        <v> </v>
      </c>
      <c r="AN12" s="65" t="str">
        <f t="shared" si="3"/>
        <v> </v>
      </c>
    </row>
    <row r="13" spans="1:40" ht="12.75">
      <c r="A13" s="309">
        <f>'liste améliorations'!A13</f>
        <v>4</v>
      </c>
      <c r="B13" s="2"/>
      <c r="C13" s="71" t="str">
        <f>'liste améliorations'!B13</f>
        <v>Placer un régulateur de tirage </v>
      </c>
      <c r="D13" s="76"/>
      <c r="E13" s="439" t="str">
        <f>'liste améliorations'!B14</f>
        <v>1... 3%</v>
      </c>
      <c r="F13" s="293">
        <f>'liste améliorations'!C13</f>
        <v>1</v>
      </c>
      <c r="G13" s="294">
        <f>'liste améliorations'!D13</f>
        <v>3</v>
      </c>
      <c r="H13" s="404">
        <f>IF(OR('liens Q R'!K10=2,'liens Q R'!K10=3),'liens Q R'!L17,0)</f>
        <v>0</v>
      </c>
      <c r="I13" s="412">
        <f>+F13*G13*H13</f>
        <v>0</v>
      </c>
      <c r="J13" s="58"/>
      <c r="K13" s="45">
        <f t="shared" si="1"/>
        <v>4</v>
      </c>
      <c r="L13" s="42">
        <f t="shared" si="4"/>
        <v>0</v>
      </c>
      <c r="M13" s="43">
        <f t="shared" si="5"/>
        <v>0</v>
      </c>
      <c r="N13" s="42">
        <f t="shared" si="6"/>
        <v>0</v>
      </c>
      <c r="O13" s="43">
        <f t="shared" si="7"/>
        <v>0</v>
      </c>
      <c r="P13" s="42">
        <f t="shared" si="8"/>
        <v>0</v>
      </c>
      <c r="Q13" s="43">
        <f t="shared" si="9"/>
        <v>0</v>
      </c>
      <c r="R13" s="42">
        <f t="shared" si="10"/>
        <v>0</v>
      </c>
      <c r="S13" s="43">
        <f t="shared" si="11"/>
        <v>0</v>
      </c>
      <c r="T13" s="42">
        <f t="shared" si="12"/>
        <v>0</v>
      </c>
      <c r="U13" s="43">
        <f t="shared" si="13"/>
        <v>0</v>
      </c>
      <c r="V13" s="42">
        <f t="shared" si="14"/>
        <v>0</v>
      </c>
      <c r="W13" s="43">
        <f t="shared" si="15"/>
        <v>0</v>
      </c>
      <c r="X13" s="42">
        <f t="shared" si="16"/>
        <v>0</v>
      </c>
      <c r="Y13" s="43">
        <f t="shared" si="17"/>
        <v>0</v>
      </c>
      <c r="Z13" s="42">
        <f t="shared" si="18"/>
        <v>0</v>
      </c>
      <c r="AA13" s="43">
        <f t="shared" si="19"/>
        <v>0</v>
      </c>
      <c r="AB13" s="42">
        <f t="shared" si="20"/>
        <v>0</v>
      </c>
      <c r="AC13" s="43">
        <f t="shared" si="21"/>
        <v>0</v>
      </c>
      <c r="AD13" s="42">
        <f t="shared" si="22"/>
        <v>0</v>
      </c>
      <c r="AE13" s="43">
        <f t="shared" si="23"/>
        <v>0</v>
      </c>
      <c r="AF13" s="42">
        <f t="shared" si="24"/>
        <v>0</v>
      </c>
      <c r="AG13" s="43">
        <f t="shared" si="25"/>
        <v>0</v>
      </c>
      <c r="AH13" s="42">
        <f t="shared" si="26"/>
        <v>4</v>
      </c>
      <c r="AI13" s="43">
        <f t="shared" si="27"/>
        <v>4</v>
      </c>
      <c r="AK13" s="291" t="str">
        <f>IF(I13=0," ",F13)</f>
        <v> </v>
      </c>
      <c r="AL13" s="292" t="str">
        <f>IF(I13=0," ",G13)</f>
        <v> </v>
      </c>
      <c r="AM13" s="36" t="str">
        <f>IF(H13&lt;1," ",H13)</f>
        <v> </v>
      </c>
      <c r="AN13" s="65" t="str">
        <f>IF(I13=0," ",IF(I13&lt;1,"-",I13))</f>
        <v> </v>
      </c>
    </row>
    <row r="14" spans="1:40" ht="12.75">
      <c r="A14" s="309">
        <f>'liste améliorations'!A11</f>
        <v>3</v>
      </c>
      <c r="B14" s="2"/>
      <c r="C14" s="71" t="str">
        <f>'liste améliorations'!B11</f>
        <v>Régler le régulateur de tirage</v>
      </c>
      <c r="D14" s="76" t="s">
        <v>227</v>
      </c>
      <c r="E14" s="439" t="str">
        <f>'liste améliorations'!B12</f>
        <v>1... 3%</v>
      </c>
      <c r="F14" s="293">
        <f>'liste améliorations'!C11</f>
        <v>1</v>
      </c>
      <c r="G14" s="294">
        <f>'liste améliorations'!D11</f>
        <v>3</v>
      </c>
      <c r="H14" s="404">
        <f>IF(OR('liens Q R'!K10=2,'liens Q R'!K10=3),IF(AND('liens Q R'!K17=1,'liens Q R'!K19=2),'liens Q R'!L19,IF(AND(OR('liens Q R'!K17=1,'liens Q R'!K17=3),OR('liens Q R'!K19=2,'liens Q R'!K19=3)),0.05,0)),0)</f>
        <v>0</v>
      </c>
      <c r="I14" s="412">
        <f>+F14*G14*H14</f>
        <v>0</v>
      </c>
      <c r="J14" s="58"/>
      <c r="K14" s="45">
        <f t="shared" si="1"/>
        <v>5</v>
      </c>
      <c r="L14" s="42">
        <f t="shared" si="4"/>
        <v>0</v>
      </c>
      <c r="M14" s="43">
        <f t="shared" si="5"/>
        <v>0</v>
      </c>
      <c r="N14" s="42">
        <f t="shared" si="6"/>
        <v>0</v>
      </c>
      <c r="O14" s="43">
        <f t="shared" si="7"/>
        <v>0</v>
      </c>
      <c r="P14" s="42">
        <f t="shared" si="8"/>
        <v>0</v>
      </c>
      <c r="Q14" s="43">
        <f t="shared" si="9"/>
        <v>0</v>
      </c>
      <c r="R14" s="42">
        <f t="shared" si="10"/>
        <v>0</v>
      </c>
      <c r="S14" s="43">
        <f t="shared" si="11"/>
        <v>0</v>
      </c>
      <c r="T14" s="42">
        <f t="shared" si="12"/>
        <v>0</v>
      </c>
      <c r="U14" s="43">
        <f t="shared" si="13"/>
        <v>0</v>
      </c>
      <c r="V14" s="42">
        <f t="shared" si="14"/>
        <v>0</v>
      </c>
      <c r="W14" s="43">
        <f t="shared" si="15"/>
        <v>0</v>
      </c>
      <c r="X14" s="42">
        <f t="shared" si="16"/>
        <v>0</v>
      </c>
      <c r="Y14" s="43">
        <f t="shared" si="17"/>
        <v>0</v>
      </c>
      <c r="Z14" s="42">
        <f t="shared" si="18"/>
        <v>0</v>
      </c>
      <c r="AA14" s="43">
        <f t="shared" si="19"/>
        <v>0</v>
      </c>
      <c r="AB14" s="42">
        <f t="shared" si="20"/>
        <v>0</v>
      </c>
      <c r="AC14" s="43">
        <f t="shared" si="21"/>
        <v>0</v>
      </c>
      <c r="AD14" s="42">
        <f t="shared" si="22"/>
        <v>0</v>
      </c>
      <c r="AE14" s="43">
        <f t="shared" si="23"/>
        <v>0</v>
      </c>
      <c r="AF14" s="42">
        <f t="shared" si="24"/>
        <v>0</v>
      </c>
      <c r="AG14" s="43">
        <f t="shared" si="25"/>
        <v>0</v>
      </c>
      <c r="AH14" s="42">
        <f t="shared" si="26"/>
        <v>5</v>
      </c>
      <c r="AI14" s="43">
        <f t="shared" si="27"/>
        <v>5</v>
      </c>
      <c r="AK14" s="291" t="str">
        <f>IF(I14=0," ",F14)</f>
        <v> </v>
      </c>
      <c r="AL14" s="292" t="str">
        <f>IF(I14=0," ",G14)</f>
        <v> </v>
      </c>
      <c r="AM14" s="36" t="str">
        <f>IF(H14&lt;1," ",H14)</f>
        <v> </v>
      </c>
      <c r="AN14" s="65" t="str">
        <f>IF(I14=0," ",IF(I14&lt;1,"-",I14))</f>
        <v> </v>
      </c>
    </row>
    <row r="15" spans="1:40" ht="12.75">
      <c r="A15" s="309">
        <f>'liste améliorations'!A15</f>
        <v>5</v>
      </c>
      <c r="B15" s="2"/>
      <c r="C15" s="71" t="str">
        <f>'liste améliorations'!B15</f>
        <v>Nettoyer la chaudière</v>
      </c>
      <c r="D15" s="301"/>
      <c r="E15" s="439" t="str">
        <f>'liste améliorations'!B16</f>
        <v>perte de rendement de combustion de 4 à 8% pour 1 mm de suie sur la surface de l'échangeur </v>
      </c>
      <c r="F15" s="293">
        <f>'liste améliorations'!C15</f>
        <v>1</v>
      </c>
      <c r="G15" s="294">
        <f>'liste améliorations'!D15</f>
        <v>3</v>
      </c>
      <c r="H15" s="404">
        <f>IF(OR('liens Q R'!K10=2,'liens Q R'!K10=3),'liens Q R'!L21,0)</f>
        <v>0</v>
      </c>
      <c r="I15" s="412">
        <f>+F15*G15*H15</f>
        <v>0</v>
      </c>
      <c r="J15" s="58"/>
      <c r="K15" s="45">
        <f t="shared" si="1"/>
        <v>6</v>
      </c>
      <c r="L15" s="42">
        <f t="shared" si="4"/>
        <v>0</v>
      </c>
      <c r="M15" s="43">
        <f t="shared" si="5"/>
        <v>0</v>
      </c>
      <c r="N15" s="42">
        <f t="shared" si="6"/>
        <v>0</v>
      </c>
      <c r="O15" s="43">
        <f t="shared" si="7"/>
        <v>0</v>
      </c>
      <c r="P15" s="42">
        <f t="shared" si="8"/>
        <v>0</v>
      </c>
      <c r="Q15" s="43">
        <f t="shared" si="9"/>
        <v>0</v>
      </c>
      <c r="R15" s="42">
        <f t="shared" si="10"/>
        <v>0</v>
      </c>
      <c r="S15" s="43">
        <f t="shared" si="11"/>
        <v>0</v>
      </c>
      <c r="T15" s="42">
        <f t="shared" si="12"/>
        <v>0</v>
      </c>
      <c r="U15" s="43">
        <f t="shared" si="13"/>
        <v>0</v>
      </c>
      <c r="V15" s="42">
        <f t="shared" si="14"/>
        <v>0</v>
      </c>
      <c r="W15" s="43">
        <f t="shared" si="15"/>
        <v>0</v>
      </c>
      <c r="X15" s="42">
        <f t="shared" si="16"/>
        <v>0</v>
      </c>
      <c r="Y15" s="43">
        <f t="shared" si="17"/>
        <v>0</v>
      </c>
      <c r="Z15" s="42">
        <f t="shared" si="18"/>
        <v>0</v>
      </c>
      <c r="AA15" s="43">
        <f t="shared" si="19"/>
        <v>0</v>
      </c>
      <c r="AB15" s="42">
        <f t="shared" si="20"/>
        <v>0</v>
      </c>
      <c r="AC15" s="43">
        <f t="shared" si="21"/>
        <v>0</v>
      </c>
      <c r="AD15" s="42">
        <f t="shared" si="22"/>
        <v>0</v>
      </c>
      <c r="AE15" s="43">
        <f t="shared" si="23"/>
        <v>0</v>
      </c>
      <c r="AF15" s="42">
        <f t="shared" si="24"/>
        <v>0</v>
      </c>
      <c r="AG15" s="43">
        <f t="shared" si="25"/>
        <v>0</v>
      </c>
      <c r="AH15" s="42">
        <f t="shared" si="26"/>
        <v>6</v>
      </c>
      <c r="AI15" s="43">
        <f t="shared" si="27"/>
        <v>6</v>
      </c>
      <c r="AK15" s="291" t="str">
        <f>IF(I15=0," ",F15)</f>
        <v> </v>
      </c>
      <c r="AL15" s="292" t="str">
        <f>IF(I15=0," ",G15)</f>
        <v> </v>
      </c>
      <c r="AM15" s="36" t="str">
        <f>IF(H15&lt;1," ",H15)</f>
        <v> </v>
      </c>
      <c r="AN15" s="65" t="str">
        <f>IF(I15=0," ",IF(I15&lt;1,"-",I15))</f>
        <v> </v>
      </c>
    </row>
    <row r="16" spans="1:40" ht="25.5">
      <c r="A16" s="309">
        <f>'liste améliorations'!A23</f>
        <v>9</v>
      </c>
      <c r="B16" s="2"/>
      <c r="C16" s="71" t="str">
        <f>'liste améliorations'!B23</f>
        <v>Diminuer la puissance du brûleur existant (Mettre un gicleur de plus petit calibre)</v>
      </c>
      <c r="D16" s="300" t="s">
        <v>191</v>
      </c>
      <c r="E16" s="439" t="str">
        <f>'liste améliorations'!B24</f>
        <v>…1%... </v>
      </c>
      <c r="F16" s="293">
        <f>'liste améliorations'!C23</f>
        <v>1</v>
      </c>
      <c r="G16" s="294">
        <f>'liste améliorations'!D23</f>
        <v>3</v>
      </c>
      <c r="H16" s="404">
        <f>IF(OR(AND(OR('liens Q R'!K10=2,'liens Q R'!K10=3),'liens Q R'!K25=2),'liens Q R'!K46=2,'liens Q R'!K51=2),MAX('liens Q R'!L25,'liens Q R'!L46,'liens Q R'!L51),IF(OR('liens Q R'!K25=3,'liens Q R'!K46=3,'liens Q R'!K51=3),0.05,0))</f>
        <v>0</v>
      </c>
      <c r="I16" s="412">
        <f>+F16*G16*H16</f>
        <v>0</v>
      </c>
      <c r="J16" s="58"/>
      <c r="K16" s="45">
        <f t="shared" si="1"/>
        <v>7</v>
      </c>
      <c r="L16" s="42">
        <f t="shared" si="4"/>
        <v>0</v>
      </c>
      <c r="M16" s="43">
        <f t="shared" si="5"/>
        <v>0</v>
      </c>
      <c r="N16" s="42">
        <f t="shared" si="6"/>
        <v>0</v>
      </c>
      <c r="O16" s="43">
        <f t="shared" si="7"/>
        <v>0</v>
      </c>
      <c r="P16" s="42">
        <f t="shared" si="8"/>
        <v>0</v>
      </c>
      <c r="Q16" s="43">
        <f t="shared" si="9"/>
        <v>0</v>
      </c>
      <c r="R16" s="42">
        <f t="shared" si="10"/>
        <v>0</v>
      </c>
      <c r="S16" s="43">
        <f t="shared" si="11"/>
        <v>0</v>
      </c>
      <c r="T16" s="42">
        <f t="shared" si="12"/>
        <v>0</v>
      </c>
      <c r="U16" s="43">
        <f t="shared" si="13"/>
        <v>0</v>
      </c>
      <c r="V16" s="42">
        <f t="shared" si="14"/>
        <v>0</v>
      </c>
      <c r="W16" s="43">
        <f t="shared" si="15"/>
        <v>0</v>
      </c>
      <c r="X16" s="42">
        <f t="shared" si="16"/>
        <v>0</v>
      </c>
      <c r="Y16" s="43">
        <f t="shared" si="17"/>
        <v>0</v>
      </c>
      <c r="Z16" s="42">
        <f t="shared" si="18"/>
        <v>0</v>
      </c>
      <c r="AA16" s="43">
        <f t="shared" si="19"/>
        <v>0</v>
      </c>
      <c r="AB16" s="42">
        <f t="shared" si="20"/>
        <v>0</v>
      </c>
      <c r="AC16" s="43">
        <f t="shared" si="21"/>
        <v>0</v>
      </c>
      <c r="AD16" s="42">
        <f t="shared" si="22"/>
        <v>0</v>
      </c>
      <c r="AE16" s="43">
        <f t="shared" si="23"/>
        <v>0</v>
      </c>
      <c r="AF16" s="42">
        <f t="shared" si="24"/>
        <v>0</v>
      </c>
      <c r="AG16" s="43">
        <f t="shared" si="25"/>
        <v>0</v>
      </c>
      <c r="AH16" s="42">
        <f t="shared" si="26"/>
        <v>7</v>
      </c>
      <c r="AI16" s="43">
        <f t="shared" si="27"/>
        <v>7</v>
      </c>
      <c r="AK16" s="291" t="str">
        <f>IF(I16=0," ",F16)</f>
        <v> </v>
      </c>
      <c r="AL16" s="292" t="str">
        <f>IF(I16=0," ",G16)</f>
        <v> </v>
      </c>
      <c r="AM16" s="36" t="str">
        <f>IF(H16&lt;1," ",H16)</f>
        <v> </v>
      </c>
      <c r="AN16" s="65" t="str">
        <f>IF(I16=0," ",IF(I16&lt;1,"-",I16))</f>
        <v> </v>
      </c>
    </row>
    <row r="17" spans="1:40" ht="25.5">
      <c r="A17" s="309">
        <f>'liste améliorations'!A17</f>
        <v>6</v>
      </c>
      <c r="B17" s="2"/>
      <c r="C17" s="71" t="str">
        <f>'liste améliorations'!B17</f>
        <v>Réisoler la chaudière, et par la suite, envisager son remplacement</v>
      </c>
      <c r="D17" s="76"/>
      <c r="E17" s="439" t="str">
        <f>'liste améliorations'!B18</f>
        <v>2 à 5%</v>
      </c>
      <c r="F17" s="293">
        <f>'liste améliorations'!C17</f>
        <v>1</v>
      </c>
      <c r="G17" s="294">
        <f>'liste améliorations'!D17</f>
        <v>3</v>
      </c>
      <c r="H17" s="404">
        <f>IF(OR('liens Q R'!K33=2,'liens Q R'!K34=2),MAX('liens Q R'!L33,'liens Q R'!L34),IF(OR('liens Q R'!K33=3,'liens Q R'!K34=3),0.05,0))</f>
        <v>0</v>
      </c>
      <c r="I17" s="412">
        <f t="shared" si="0"/>
        <v>0</v>
      </c>
      <c r="K17" s="45">
        <f t="shared" si="1"/>
        <v>8</v>
      </c>
      <c r="L17" s="42">
        <f t="shared" si="4"/>
        <v>0</v>
      </c>
      <c r="M17" s="43">
        <f t="shared" si="5"/>
        <v>0</v>
      </c>
      <c r="N17" s="42">
        <f t="shared" si="6"/>
        <v>0</v>
      </c>
      <c r="O17" s="43">
        <f t="shared" si="7"/>
        <v>0</v>
      </c>
      <c r="P17" s="42">
        <f t="shared" si="8"/>
        <v>0</v>
      </c>
      <c r="Q17" s="43">
        <f t="shared" si="9"/>
        <v>0</v>
      </c>
      <c r="R17" s="42">
        <f t="shared" si="10"/>
        <v>0</v>
      </c>
      <c r="S17" s="43">
        <f t="shared" si="11"/>
        <v>0</v>
      </c>
      <c r="T17" s="42">
        <f t="shared" si="12"/>
        <v>0</v>
      </c>
      <c r="U17" s="43">
        <f t="shared" si="13"/>
        <v>0</v>
      </c>
      <c r="V17" s="42">
        <f t="shared" si="14"/>
        <v>0</v>
      </c>
      <c r="W17" s="43">
        <f t="shared" si="15"/>
        <v>0</v>
      </c>
      <c r="X17" s="42">
        <f t="shared" si="16"/>
        <v>0</v>
      </c>
      <c r="Y17" s="43">
        <f t="shared" si="17"/>
        <v>0</v>
      </c>
      <c r="Z17" s="42">
        <f t="shared" si="18"/>
        <v>0</v>
      </c>
      <c r="AA17" s="43">
        <f t="shared" si="19"/>
        <v>0</v>
      </c>
      <c r="AB17" s="42">
        <f t="shared" si="20"/>
        <v>0</v>
      </c>
      <c r="AC17" s="43">
        <f t="shared" si="21"/>
        <v>0</v>
      </c>
      <c r="AD17" s="42">
        <f t="shared" si="22"/>
        <v>0</v>
      </c>
      <c r="AE17" s="43">
        <f t="shared" si="23"/>
        <v>0</v>
      </c>
      <c r="AF17" s="42">
        <f t="shared" si="24"/>
        <v>0</v>
      </c>
      <c r="AG17" s="43">
        <f t="shared" si="25"/>
        <v>0</v>
      </c>
      <c r="AH17" s="42">
        <f t="shared" si="26"/>
        <v>8</v>
      </c>
      <c r="AI17" s="43">
        <f t="shared" si="27"/>
        <v>8</v>
      </c>
      <c r="AK17" s="291" t="str">
        <f t="shared" si="28"/>
        <v> </v>
      </c>
      <c r="AL17" s="292" t="str">
        <f t="shared" si="29"/>
        <v> </v>
      </c>
      <c r="AM17" s="36" t="str">
        <f t="shared" si="2"/>
        <v> </v>
      </c>
      <c r="AN17" s="65" t="str">
        <f t="shared" si="3"/>
        <v> </v>
      </c>
    </row>
    <row r="18" spans="1:40" ht="25.5">
      <c r="A18" s="309">
        <f>'liste améliorations'!A25</f>
        <v>10</v>
      </c>
      <c r="B18" s="2"/>
      <c r="C18" s="71" t="str">
        <f>'liste améliorations'!B25</f>
        <v>Corriger le raccordement électrique du brûleur ou débloquer le clapet pour qu'il se ferme</v>
      </c>
      <c r="D18" s="76" t="s">
        <v>194</v>
      </c>
      <c r="E18" s="439" t="str">
        <f>'liste améliorations'!B26</f>
        <v>   </v>
      </c>
      <c r="F18" s="293">
        <f>'liste améliorations'!C25</f>
        <v>1</v>
      </c>
      <c r="G18" s="294">
        <f>'liste améliorations'!D25</f>
        <v>3</v>
      </c>
      <c r="H18" s="404">
        <f>IF(AND('liens Q R'!K38=2,'liens Q R'!K40=1),'liens Q R'!L38,IF(AND(OR('liens Q R'!K38=2,'liens Q R'!K38=3),OR('liens Q R'!K40=1,'liens Q R'!K40=3)),0.05,0))</f>
        <v>0</v>
      </c>
      <c r="I18" s="412">
        <f>+F18*G18*H18</f>
        <v>0</v>
      </c>
      <c r="K18" s="45">
        <f t="shared" si="1"/>
        <v>9</v>
      </c>
      <c r="L18" s="42">
        <f t="shared" si="4"/>
        <v>0</v>
      </c>
      <c r="M18" s="43">
        <f t="shared" si="5"/>
        <v>0</v>
      </c>
      <c r="N18" s="42">
        <f t="shared" si="6"/>
        <v>0</v>
      </c>
      <c r="O18" s="43">
        <f t="shared" si="7"/>
        <v>0</v>
      </c>
      <c r="P18" s="42">
        <f t="shared" si="8"/>
        <v>0</v>
      </c>
      <c r="Q18" s="43">
        <f t="shared" si="9"/>
        <v>0</v>
      </c>
      <c r="R18" s="42">
        <f t="shared" si="10"/>
        <v>0</v>
      </c>
      <c r="S18" s="43">
        <f t="shared" si="11"/>
        <v>0</v>
      </c>
      <c r="T18" s="42">
        <f t="shared" si="12"/>
        <v>0</v>
      </c>
      <c r="U18" s="43">
        <f t="shared" si="13"/>
        <v>0</v>
      </c>
      <c r="V18" s="42">
        <f t="shared" si="14"/>
        <v>0</v>
      </c>
      <c r="W18" s="43">
        <f t="shared" si="15"/>
        <v>0</v>
      </c>
      <c r="X18" s="42">
        <f t="shared" si="16"/>
        <v>0</v>
      </c>
      <c r="Y18" s="43">
        <f t="shared" si="17"/>
        <v>0</v>
      </c>
      <c r="Z18" s="42">
        <f t="shared" si="18"/>
        <v>0</v>
      </c>
      <c r="AA18" s="43">
        <f t="shared" si="19"/>
        <v>0</v>
      </c>
      <c r="AB18" s="42">
        <f t="shared" si="20"/>
        <v>0</v>
      </c>
      <c r="AC18" s="43">
        <f t="shared" si="21"/>
        <v>0</v>
      </c>
      <c r="AD18" s="42">
        <f t="shared" si="22"/>
        <v>0</v>
      </c>
      <c r="AE18" s="43">
        <f t="shared" si="23"/>
        <v>0</v>
      </c>
      <c r="AF18" s="42">
        <f t="shared" si="24"/>
        <v>0</v>
      </c>
      <c r="AG18" s="43">
        <f t="shared" si="25"/>
        <v>0</v>
      </c>
      <c r="AH18" s="42">
        <f t="shared" si="26"/>
        <v>9</v>
      </c>
      <c r="AI18" s="43">
        <f t="shared" si="27"/>
        <v>9</v>
      </c>
      <c r="AK18" s="291" t="str">
        <f>IF(I18=0," ",F18)</f>
        <v> </v>
      </c>
      <c r="AL18" s="292" t="str">
        <f>IF(I18=0," ",G18)</f>
        <v> </v>
      </c>
      <c r="AM18" s="36" t="str">
        <f>IF(H18&lt;1," ",H18)</f>
        <v> </v>
      </c>
      <c r="AN18" s="65" t="str">
        <f>IF(I18=0," ",IF(I18&lt;1,"-",I18))</f>
        <v> </v>
      </c>
    </row>
    <row r="19" spans="1:40" ht="102">
      <c r="A19" s="309">
        <f>'liste améliorations'!A9</f>
        <v>2</v>
      </c>
      <c r="B19" s="2"/>
      <c r="C19" s="71" t="str">
        <f>'liste améliorations'!B9</f>
        <v>Remplacer le brûleur </v>
      </c>
      <c r="D19" s="77" t="s">
        <v>197</v>
      </c>
      <c r="E19" s="439" t="str">
        <f>'liste améliorations'!B10</f>
        <v>3%... 10%</v>
      </c>
      <c r="F19" s="293">
        <f>'liste améliorations'!C9</f>
        <v>2</v>
      </c>
      <c r="G19" s="294">
        <f>'liste améliorations'!D9</f>
        <v>2</v>
      </c>
      <c r="H19" s="404">
        <f>IF(OR(AND('liens Q R'!K38=2,'liens Q R'!K40=2),'liens Q R'!K65=2,AND('liens Q R'!K65=1,'liens Q R'!K67=2)),MAX('liens Q R'!L38,'liens Q R'!L40,'liens Q R'!L65,'liens Q R'!L67),IF(OR(AND(OR('liens Q R'!K38=2,'liens Q R'!K38=3),OR('liens Q R'!K40=2,'liens Q R'!K40=3)),'liens Q R'!K65=3,AND('liens Q R'!K65=1,'liens Q R'!K67=3)),0.05,0))</f>
        <v>0</v>
      </c>
      <c r="I19" s="412">
        <f t="shared" si="0"/>
        <v>0</v>
      </c>
      <c r="K19" s="45">
        <f t="shared" si="1"/>
        <v>10</v>
      </c>
      <c r="L19" s="42">
        <f t="shared" si="4"/>
        <v>0</v>
      </c>
      <c r="M19" s="43">
        <f t="shared" si="5"/>
        <v>0</v>
      </c>
      <c r="N19" s="42">
        <f t="shared" si="6"/>
        <v>0</v>
      </c>
      <c r="O19" s="43">
        <f t="shared" si="7"/>
        <v>0</v>
      </c>
      <c r="P19" s="42">
        <f t="shared" si="8"/>
        <v>0</v>
      </c>
      <c r="Q19" s="43">
        <f t="shared" si="9"/>
        <v>0</v>
      </c>
      <c r="R19" s="42">
        <f t="shared" si="10"/>
        <v>0</v>
      </c>
      <c r="S19" s="43">
        <f t="shared" si="11"/>
        <v>0</v>
      </c>
      <c r="T19" s="42">
        <f t="shared" si="12"/>
        <v>0</v>
      </c>
      <c r="U19" s="43">
        <f t="shared" si="13"/>
        <v>0</v>
      </c>
      <c r="V19" s="42">
        <f t="shared" si="14"/>
        <v>0</v>
      </c>
      <c r="W19" s="43">
        <f t="shared" si="15"/>
        <v>0</v>
      </c>
      <c r="X19" s="42">
        <f t="shared" si="16"/>
        <v>0</v>
      </c>
      <c r="Y19" s="43">
        <f t="shared" si="17"/>
        <v>0</v>
      </c>
      <c r="Z19" s="42">
        <f t="shared" si="18"/>
        <v>0</v>
      </c>
      <c r="AA19" s="43">
        <f t="shared" si="19"/>
        <v>0</v>
      </c>
      <c r="AB19" s="42">
        <f t="shared" si="20"/>
        <v>0</v>
      </c>
      <c r="AC19" s="43">
        <f t="shared" si="21"/>
        <v>0</v>
      </c>
      <c r="AD19" s="42">
        <f t="shared" si="22"/>
        <v>0</v>
      </c>
      <c r="AE19" s="43">
        <f t="shared" si="23"/>
        <v>0</v>
      </c>
      <c r="AF19" s="42">
        <f t="shared" si="24"/>
        <v>0</v>
      </c>
      <c r="AG19" s="43">
        <f t="shared" si="25"/>
        <v>0</v>
      </c>
      <c r="AH19" s="42">
        <f t="shared" si="26"/>
        <v>10</v>
      </c>
      <c r="AI19" s="43">
        <f t="shared" si="27"/>
        <v>10</v>
      </c>
      <c r="AK19" s="291" t="str">
        <f t="shared" si="28"/>
        <v> </v>
      </c>
      <c r="AL19" s="292" t="str">
        <f t="shared" si="29"/>
        <v> </v>
      </c>
      <c r="AM19" s="36" t="str">
        <f t="shared" si="2"/>
        <v> </v>
      </c>
      <c r="AN19" s="65" t="str">
        <f t="shared" si="3"/>
        <v> </v>
      </c>
    </row>
    <row r="20" spans="1:40" ht="25.5">
      <c r="A20" s="309">
        <f>'liste améliorations'!A29</f>
        <v>12</v>
      </c>
      <c r="B20" s="2"/>
      <c r="C20" s="71" t="str">
        <f>'liste améliorations'!B29</f>
        <v>Equiper les chaudières pour pouvoir piloter chaudières et brûleurs en cascade</v>
      </c>
      <c r="D20" s="76"/>
      <c r="E20" s="439" t="str">
        <f>'liste améliorations'!B30</f>
        <v>0,5% à 2%</v>
      </c>
      <c r="F20" s="293">
        <f>'liste améliorations'!C29</f>
        <v>1</v>
      </c>
      <c r="G20" s="294">
        <f>'liste améliorations'!D29</f>
        <v>1</v>
      </c>
      <c r="H20" s="404">
        <f>'liens Q R'!L56</f>
        <v>0</v>
      </c>
      <c r="I20" s="412">
        <f t="shared" si="0"/>
        <v>0</v>
      </c>
      <c r="J20" s="58"/>
      <c r="K20" s="45">
        <f t="shared" si="1"/>
        <v>11</v>
      </c>
      <c r="L20" s="42">
        <f t="shared" si="4"/>
        <v>0</v>
      </c>
      <c r="M20" s="43">
        <f t="shared" si="5"/>
        <v>0</v>
      </c>
      <c r="N20" s="42">
        <f t="shared" si="6"/>
        <v>0</v>
      </c>
      <c r="O20" s="43">
        <f t="shared" si="7"/>
        <v>0</v>
      </c>
      <c r="P20" s="42">
        <f t="shared" si="8"/>
        <v>0</v>
      </c>
      <c r="Q20" s="43">
        <f t="shared" si="9"/>
        <v>0</v>
      </c>
      <c r="R20" s="42">
        <f t="shared" si="10"/>
        <v>0</v>
      </c>
      <c r="S20" s="43">
        <f t="shared" si="11"/>
        <v>0</v>
      </c>
      <c r="T20" s="42">
        <f t="shared" si="12"/>
        <v>0</v>
      </c>
      <c r="U20" s="43">
        <f t="shared" si="13"/>
        <v>0</v>
      </c>
      <c r="V20" s="42">
        <f t="shared" si="14"/>
        <v>0</v>
      </c>
      <c r="W20" s="43">
        <f t="shared" si="15"/>
        <v>0</v>
      </c>
      <c r="X20" s="42">
        <f t="shared" si="16"/>
        <v>0</v>
      </c>
      <c r="Y20" s="43">
        <f t="shared" si="17"/>
        <v>0</v>
      </c>
      <c r="Z20" s="42">
        <f t="shared" si="18"/>
        <v>0</v>
      </c>
      <c r="AA20" s="43">
        <f t="shared" si="19"/>
        <v>0</v>
      </c>
      <c r="AB20" s="42">
        <f t="shared" si="20"/>
        <v>0</v>
      </c>
      <c r="AC20" s="43">
        <f t="shared" si="21"/>
        <v>0</v>
      </c>
      <c r="AD20" s="42">
        <f t="shared" si="22"/>
        <v>0</v>
      </c>
      <c r="AE20" s="43">
        <f t="shared" si="23"/>
        <v>0</v>
      </c>
      <c r="AF20" s="42">
        <f t="shared" si="24"/>
        <v>0</v>
      </c>
      <c r="AG20" s="43">
        <f t="shared" si="25"/>
        <v>0</v>
      </c>
      <c r="AH20" s="42">
        <f t="shared" si="26"/>
        <v>11</v>
      </c>
      <c r="AI20" s="43">
        <f t="shared" si="27"/>
        <v>11</v>
      </c>
      <c r="AK20" s="291" t="str">
        <f t="shared" si="28"/>
        <v> </v>
      </c>
      <c r="AL20" s="292" t="str">
        <f t="shared" si="29"/>
        <v> </v>
      </c>
      <c r="AM20" s="36" t="str">
        <f t="shared" si="2"/>
        <v> </v>
      </c>
      <c r="AN20" s="65" t="str">
        <f t="shared" si="3"/>
        <v> </v>
      </c>
    </row>
    <row r="21" spans="1:40" ht="12.75">
      <c r="A21" s="309">
        <f>'liste améliorations'!A27</f>
        <v>11</v>
      </c>
      <c r="B21" s="2"/>
      <c r="C21" s="71" t="str">
        <f>'liste améliorations'!B27</f>
        <v>Etudier la faisabilité de la cogénération</v>
      </c>
      <c r="D21" s="76"/>
      <c r="E21" s="439" t="str">
        <f>'liste améliorations'!B28</f>
        <v>15 à 20 % d'économie potentielle sur l'énergie primaire totale de fonctionnement du bâtiment - Jusqu'à 50% d'économie sur la facture électrique. Rentabilité faible pour des bureaux et élevée pour les hôpitaux</v>
      </c>
      <c r="F21" s="293">
        <f>'liste améliorations'!C27</f>
        <v>2</v>
      </c>
      <c r="G21" s="294">
        <f>'liste améliorations'!D27</f>
        <v>1</v>
      </c>
      <c r="H21" s="404">
        <f>'liens Q R'!L78</f>
        <v>0</v>
      </c>
      <c r="I21" s="412">
        <f t="shared" si="0"/>
        <v>0</v>
      </c>
      <c r="K21" s="45">
        <f t="shared" si="1"/>
        <v>12</v>
      </c>
      <c r="L21" s="42">
        <f t="shared" si="4"/>
        <v>0</v>
      </c>
      <c r="M21" s="43">
        <f t="shared" si="5"/>
        <v>0</v>
      </c>
      <c r="N21" s="42">
        <f t="shared" si="6"/>
        <v>0</v>
      </c>
      <c r="O21" s="43">
        <f t="shared" si="7"/>
        <v>0</v>
      </c>
      <c r="P21" s="42">
        <f t="shared" si="8"/>
        <v>0</v>
      </c>
      <c r="Q21" s="43">
        <f t="shared" si="9"/>
        <v>0</v>
      </c>
      <c r="R21" s="42">
        <f t="shared" si="10"/>
        <v>0</v>
      </c>
      <c r="S21" s="43">
        <f t="shared" si="11"/>
        <v>0</v>
      </c>
      <c r="T21" s="42">
        <f t="shared" si="12"/>
        <v>0</v>
      </c>
      <c r="U21" s="43">
        <f t="shared" si="13"/>
        <v>0</v>
      </c>
      <c r="V21" s="42">
        <f t="shared" si="14"/>
        <v>0</v>
      </c>
      <c r="W21" s="43">
        <f t="shared" si="15"/>
        <v>0</v>
      </c>
      <c r="X21" s="42">
        <f t="shared" si="16"/>
        <v>0</v>
      </c>
      <c r="Y21" s="43">
        <f t="shared" si="17"/>
        <v>0</v>
      </c>
      <c r="Z21" s="42">
        <f t="shared" si="18"/>
        <v>0</v>
      </c>
      <c r="AA21" s="43">
        <f t="shared" si="19"/>
        <v>0</v>
      </c>
      <c r="AB21" s="42">
        <f t="shared" si="20"/>
        <v>0</v>
      </c>
      <c r="AC21" s="43">
        <f t="shared" si="21"/>
        <v>0</v>
      </c>
      <c r="AD21" s="42">
        <f t="shared" si="22"/>
        <v>0</v>
      </c>
      <c r="AE21" s="43">
        <f t="shared" si="23"/>
        <v>0</v>
      </c>
      <c r="AF21" s="42">
        <f t="shared" si="24"/>
        <v>0</v>
      </c>
      <c r="AG21" s="43">
        <f t="shared" si="25"/>
        <v>0</v>
      </c>
      <c r="AH21" s="42">
        <f t="shared" si="26"/>
        <v>12</v>
      </c>
      <c r="AI21" s="43">
        <f t="shared" si="27"/>
        <v>12</v>
      </c>
      <c r="AK21" s="291" t="str">
        <f t="shared" si="28"/>
        <v> </v>
      </c>
      <c r="AL21" s="292" t="str">
        <f t="shared" si="29"/>
        <v> </v>
      </c>
      <c r="AM21" s="36" t="str">
        <f t="shared" si="2"/>
        <v> </v>
      </c>
      <c r="AN21" s="65" t="str">
        <f t="shared" si="3"/>
        <v> </v>
      </c>
    </row>
    <row r="22" spans="1:40" ht="51">
      <c r="A22" s="309">
        <f>'liste améliorations'!A31</f>
        <v>13</v>
      </c>
      <c r="B22" s="2"/>
      <c r="C22" s="71" t="str">
        <f>'liste améliorations'!B31</f>
        <v>Si le rendement reste inférieur à 88% après avoir effectué les améliorations possibles (colmaté et nettoyé la chaudière, régulé le tirage, diminué la puissance du brûleur), remplacer la chaudière et le brûleur</v>
      </c>
      <c r="D22" s="76" t="s">
        <v>192</v>
      </c>
      <c r="E22" s="439" t="str">
        <f>'liste améliorations'!B32</f>
        <v>   </v>
      </c>
      <c r="F22" s="293" t="str">
        <f>'liste améliorations'!C31</f>
        <v>-</v>
      </c>
      <c r="G22" s="294" t="str">
        <f>'liste améliorations'!D31</f>
        <v>-</v>
      </c>
      <c r="H22" s="404">
        <f>IF(AND('liens Q R'!K10=2,OR('liens Q R'!K15=2,'liens Q R'!K17=2,'liens Q R'!K19=2,'liens Q R'!K21=2,'liens Q R'!K25=2)),1,0)</f>
        <v>0</v>
      </c>
      <c r="I22" s="412">
        <f>1*1*H22</f>
        <v>0</v>
      </c>
      <c r="K22" s="45">
        <f t="shared" si="1"/>
        <v>13</v>
      </c>
      <c r="L22" s="42">
        <f t="shared" si="4"/>
        <v>0</v>
      </c>
      <c r="M22" s="43">
        <f t="shared" si="5"/>
        <v>0</v>
      </c>
      <c r="N22" s="42">
        <f t="shared" si="6"/>
        <v>0</v>
      </c>
      <c r="O22" s="43">
        <f t="shared" si="7"/>
        <v>0</v>
      </c>
      <c r="P22" s="42">
        <f t="shared" si="8"/>
        <v>0</v>
      </c>
      <c r="Q22" s="43">
        <f t="shared" si="9"/>
        <v>0</v>
      </c>
      <c r="R22" s="42">
        <f t="shared" si="10"/>
        <v>0</v>
      </c>
      <c r="S22" s="43">
        <f t="shared" si="11"/>
        <v>0</v>
      </c>
      <c r="T22" s="42">
        <f t="shared" si="12"/>
        <v>0</v>
      </c>
      <c r="U22" s="43">
        <f t="shared" si="13"/>
        <v>0</v>
      </c>
      <c r="V22" s="42">
        <f t="shared" si="14"/>
        <v>0</v>
      </c>
      <c r="W22" s="43">
        <f t="shared" si="15"/>
        <v>0</v>
      </c>
      <c r="X22" s="42">
        <f t="shared" si="16"/>
        <v>0</v>
      </c>
      <c r="Y22" s="43">
        <f t="shared" si="17"/>
        <v>0</v>
      </c>
      <c r="Z22" s="42">
        <f t="shared" si="18"/>
        <v>0</v>
      </c>
      <c r="AA22" s="43">
        <f t="shared" si="19"/>
        <v>0</v>
      </c>
      <c r="AB22" s="42">
        <f t="shared" si="20"/>
        <v>0</v>
      </c>
      <c r="AC22" s="43">
        <f t="shared" si="21"/>
        <v>0</v>
      </c>
      <c r="AD22" s="42">
        <f t="shared" si="22"/>
        <v>0</v>
      </c>
      <c r="AE22" s="43">
        <f t="shared" si="23"/>
        <v>0</v>
      </c>
      <c r="AF22" s="42">
        <f t="shared" si="24"/>
        <v>0</v>
      </c>
      <c r="AG22" s="43">
        <f t="shared" si="25"/>
        <v>0</v>
      </c>
      <c r="AH22" s="42">
        <f t="shared" si="26"/>
        <v>13</v>
      </c>
      <c r="AI22" s="43">
        <f t="shared" si="27"/>
        <v>13</v>
      </c>
      <c r="AK22" s="291" t="str">
        <f>IF(I22=0," ",F22)</f>
        <v> </v>
      </c>
      <c r="AL22" s="292" t="str">
        <f>IF(I22=0," ",G22)</f>
        <v> </v>
      </c>
      <c r="AM22" s="36" t="str">
        <f>IF(H22&lt;1," ",H22)</f>
        <v> </v>
      </c>
      <c r="AN22" s="65" t="str">
        <f>IF(I22=0," ",IF(I22&lt;1,"-",I22))</f>
        <v> </v>
      </c>
    </row>
    <row r="23" spans="3:40" ht="12.75">
      <c r="C23" s="306"/>
      <c r="D23" s="306"/>
      <c r="F23" s="295"/>
      <c r="G23" s="295"/>
      <c r="H23" s="405"/>
      <c r="I23" s="413"/>
      <c r="K23" s="45"/>
      <c r="AK23" s="295"/>
      <c r="AL23" s="295"/>
      <c r="AN23" s="8"/>
    </row>
    <row r="24" spans="1:11" ht="12.75">
      <c r="A24" s="308"/>
      <c r="C24" s="317"/>
      <c r="D24" s="317"/>
      <c r="E24" s="389"/>
      <c r="H24" s="405"/>
      <c r="I24" s="414"/>
      <c r="K24" s="45"/>
    </row>
    <row r="25" spans="1:40" s="2" customFormat="1" ht="12.75">
      <c r="A25" s="310" t="s">
        <v>232</v>
      </c>
      <c r="B25" s="1"/>
      <c r="C25" s="318"/>
      <c r="D25" s="318"/>
      <c r="E25" s="387"/>
      <c r="F25" s="15"/>
      <c r="G25" s="16"/>
      <c r="H25" s="406"/>
      <c r="I25" s="412"/>
      <c r="K25" s="45"/>
      <c r="AK25" s="15"/>
      <c r="AL25" s="16"/>
      <c r="AM25" s="6"/>
      <c r="AN25" s="65"/>
    </row>
    <row r="26" spans="1:40" ht="25.5">
      <c r="A26" s="309">
        <f>'liste améliorations'!A49</f>
        <v>8</v>
      </c>
      <c r="C26" s="71" t="str">
        <f>'liste améliorations'!B49</f>
        <v>Améliorer le réseau hydraulique pour valoriser la chaudière à condensation</v>
      </c>
      <c r="D26" s="302"/>
      <c r="E26" s="440" t="str">
        <f>'liste améliorations'!B50</f>
        <v>… 6...% de la consommation de chauffage</v>
      </c>
      <c r="F26" s="293">
        <f>'liste améliorations'!C49</f>
        <v>2</v>
      </c>
      <c r="G26" s="294">
        <f>'liste améliorations'!D49</f>
        <v>1</v>
      </c>
      <c r="H26" s="407">
        <f>'liens Q R'!L73</f>
        <v>0</v>
      </c>
      <c r="I26" s="412">
        <f>+F26*G26*H26</f>
        <v>0</v>
      </c>
      <c r="K26" s="45">
        <f>L26+N26+P26+R26+T26+V26+X26+Z26+AB26+AD26+AF26+AH26</f>
        <v>1</v>
      </c>
      <c r="L26" s="42">
        <f>IF(I26=27,1,0)</f>
        <v>0</v>
      </c>
      <c r="M26" s="43">
        <f>IF(I26=27,1,0)</f>
        <v>0</v>
      </c>
      <c r="N26" s="42">
        <f>IF($I26=N$9,N33+1,0)</f>
        <v>0</v>
      </c>
      <c r="O26" s="43">
        <f>IF($I26=N$9,N26,M33)</f>
        <v>0</v>
      </c>
      <c r="P26" s="42">
        <f>IF($I26=P$9,P33+1,0)</f>
        <v>0</v>
      </c>
      <c r="Q26" s="43">
        <f>IF($I26=P$9,P26,O33)</f>
        <v>0</v>
      </c>
      <c r="R26" s="42">
        <f>IF($I26=R$9,R33+1,0)</f>
        <v>0</v>
      </c>
      <c r="S26" s="43">
        <f>IF($I26=R$9,R26,Q33)</f>
        <v>0</v>
      </c>
      <c r="T26" s="42">
        <f>IF($I26=T$9,T33+1,0)</f>
        <v>0</v>
      </c>
      <c r="U26" s="43">
        <f>IF($I26=T$9,T26,S33)</f>
        <v>0</v>
      </c>
      <c r="V26" s="42">
        <f>IF($I26=V$9,V33+1,0)</f>
        <v>0</v>
      </c>
      <c r="W26" s="43">
        <f>IF($I26=V$9,V26,U33)</f>
        <v>0</v>
      </c>
      <c r="X26" s="42">
        <f>IF($I26=X$9,X33+1,0)</f>
        <v>0</v>
      </c>
      <c r="Y26" s="43">
        <f>IF($I26=X$9,X26,W33)</f>
        <v>0</v>
      </c>
      <c r="Z26" s="42">
        <f>IF($I26=Z$9,Z33+1,0)</f>
        <v>0</v>
      </c>
      <c r="AA26" s="43">
        <f>IF($I26=Z$9,Z26,Y33)</f>
        <v>0</v>
      </c>
      <c r="AB26" s="42">
        <f>IF($I26=AB$9,AB33+1,0)</f>
        <v>0</v>
      </c>
      <c r="AC26" s="43">
        <f>IF($I26=AB$9,AB26,AA33)</f>
        <v>0</v>
      </c>
      <c r="AD26" s="42">
        <f>IF($I26=AD$9,AD33+1,0)</f>
        <v>0</v>
      </c>
      <c r="AE26" s="43">
        <f>IF($I26=AD$9,AD26,AC33)</f>
        <v>0</v>
      </c>
      <c r="AF26" s="42">
        <f>IF(AND($I26&gt;0,$I26&lt;1),AE33+1,0)</f>
        <v>0</v>
      </c>
      <c r="AG26" s="43">
        <f>IF(AND($I26&gt;0,$I26&lt;1),AF26,AE33)</f>
        <v>0</v>
      </c>
      <c r="AH26" s="42">
        <f>IF($I26=AH$9,AG33+1,0)</f>
        <v>1</v>
      </c>
      <c r="AI26" s="43">
        <f>IF($I26=AH$9,AH26,AG33)</f>
        <v>1</v>
      </c>
      <c r="AK26" s="291" t="str">
        <f>IF(I26=0," ",F26)</f>
        <v> </v>
      </c>
      <c r="AL26" s="292" t="str">
        <f>IF(I26=0," ",G26)</f>
        <v> </v>
      </c>
      <c r="AM26" s="36" t="str">
        <f>IF(H26&lt;1," ",H26)</f>
        <v> </v>
      </c>
      <c r="AN26" s="65" t="str">
        <f>IF(I26=0," ",IF(I26&lt;1,"-",I26))</f>
        <v> </v>
      </c>
    </row>
    <row r="27" spans="1:40" s="2" customFormat="1" ht="38.25">
      <c r="A27" s="309">
        <f>'liste améliorations'!A35</f>
        <v>1</v>
      </c>
      <c r="B27" s="1"/>
      <c r="C27" s="71" t="str">
        <f>'liste améliorations'!B35</f>
        <v>Isoler les conduites (ainsi que les vannes) dans les locaux non chauffés en permanence (gaines techniques, faux-plafonds, …)</v>
      </c>
      <c r="D27" s="77"/>
      <c r="E27" s="440" t="str">
        <f>'liste améliorations'!B36</f>
        <v>90% des pertes de la conduite</v>
      </c>
      <c r="F27" s="293">
        <f>'liste améliorations'!C35</f>
        <v>3</v>
      </c>
      <c r="G27" s="294">
        <f>'liste améliorations'!D35</f>
        <v>3</v>
      </c>
      <c r="H27" s="407">
        <f>'liens Q R'!L86</f>
        <v>0</v>
      </c>
      <c r="I27" s="412">
        <f aca="true" t="shared" si="30" ref="I27:I33">+F27*G27*H27</f>
        <v>0</v>
      </c>
      <c r="K27" s="45">
        <f aca="true" t="shared" si="31" ref="K27:K33">L27+N27+P27+R27+T27+V27+X27+Z27+AB27+AD27+AF27+AH27</f>
        <v>2</v>
      </c>
      <c r="L27" s="42">
        <f aca="true" t="shared" si="32" ref="L27:L33">IF($I27=L$9,M26+1,0)</f>
        <v>0</v>
      </c>
      <c r="M27" s="43">
        <f aca="true" t="shared" si="33" ref="M27:M33">IF($I27=L$9,L27,M26)</f>
        <v>0</v>
      </c>
      <c r="N27" s="42">
        <f aca="true" t="shared" si="34" ref="N27:N33">IF($I27=N$9,O26+1,0)</f>
        <v>0</v>
      </c>
      <c r="O27" s="43">
        <f aca="true" t="shared" si="35" ref="O27:O33">IF($I27=N$9,N27,O26)</f>
        <v>0</v>
      </c>
      <c r="P27" s="42">
        <f aca="true" t="shared" si="36" ref="P27:P33">IF($I27=P$9,Q26+1,0)</f>
        <v>0</v>
      </c>
      <c r="Q27" s="43">
        <f aca="true" t="shared" si="37" ref="Q27:Q33">IF($I27=P$9,P27,Q26)</f>
        <v>0</v>
      </c>
      <c r="R27" s="42">
        <f aca="true" t="shared" si="38" ref="R27:R33">IF($I27=R$9,S26+1,0)</f>
        <v>0</v>
      </c>
      <c r="S27" s="43">
        <f aca="true" t="shared" si="39" ref="S27:S33">IF($I27=R$9,R27,S26)</f>
        <v>0</v>
      </c>
      <c r="T27" s="42">
        <f aca="true" t="shared" si="40" ref="T27:T33">IF($I27=T$9,U26+1,0)</f>
        <v>0</v>
      </c>
      <c r="U27" s="43">
        <f aca="true" t="shared" si="41" ref="U27:U33">IF($I27=T$9,T27,U26)</f>
        <v>0</v>
      </c>
      <c r="V27" s="42">
        <f aca="true" t="shared" si="42" ref="V27:V33">IF($I27=V$9,W26+1,0)</f>
        <v>0</v>
      </c>
      <c r="W27" s="43">
        <f aca="true" t="shared" si="43" ref="W27:W33">IF($I27=V$9,V27,W26)</f>
        <v>0</v>
      </c>
      <c r="X27" s="42">
        <f aca="true" t="shared" si="44" ref="X27:X33">IF($I27=X$9,Y26+1,0)</f>
        <v>0</v>
      </c>
      <c r="Y27" s="43">
        <f aca="true" t="shared" si="45" ref="Y27:Y33">IF($I27=X$9,X27,Y26)</f>
        <v>0</v>
      </c>
      <c r="Z27" s="42">
        <f aca="true" t="shared" si="46" ref="Z27:Z33">IF($I27=Z$9,AA26+1,0)</f>
        <v>0</v>
      </c>
      <c r="AA27" s="43">
        <f aca="true" t="shared" si="47" ref="AA27:AA33">IF($I27=Z$9,Z27,AA26)</f>
        <v>0</v>
      </c>
      <c r="AB27" s="42">
        <f aca="true" t="shared" si="48" ref="AB27:AB33">IF($I27=AB$9,AC26+1,0)</f>
        <v>0</v>
      </c>
      <c r="AC27" s="43">
        <f aca="true" t="shared" si="49" ref="AC27:AC33">IF($I27=AB$9,AB27,AC26)</f>
        <v>0</v>
      </c>
      <c r="AD27" s="42">
        <f aca="true" t="shared" si="50" ref="AD27:AD33">IF($I27=AD$9,AE26+1,0)</f>
        <v>0</v>
      </c>
      <c r="AE27" s="43">
        <f aca="true" t="shared" si="51" ref="AE27:AE33">IF($I27=AD$9,AD27,AE26)</f>
        <v>0</v>
      </c>
      <c r="AF27" s="42">
        <f aca="true" t="shared" si="52" ref="AF27:AF33">IF(AND($I27&gt;0,$I27&lt;1),AG26+1,0)</f>
        <v>0</v>
      </c>
      <c r="AG27" s="43">
        <f aca="true" t="shared" si="53" ref="AG27:AG33">IF(AND($I27&gt;0,$I27&lt;1),AF27,AG26)</f>
        <v>0</v>
      </c>
      <c r="AH27" s="42">
        <f aca="true" t="shared" si="54" ref="AH27:AH33">IF($I27=AH$9,AI26+1,0)</f>
        <v>2</v>
      </c>
      <c r="AI27" s="43">
        <f aca="true" t="shared" si="55" ref="AI27:AI33">IF($I27=AH$9,AH27,AI26)</f>
        <v>2</v>
      </c>
      <c r="AK27" s="291" t="str">
        <f aca="true" t="shared" si="56" ref="AK27:AK33">IF(I27=0," ",F27)</f>
        <v> </v>
      </c>
      <c r="AL27" s="292" t="str">
        <f aca="true" t="shared" si="57" ref="AL27:AL33">IF(I27=0," ",G27)</f>
        <v> </v>
      </c>
      <c r="AM27" s="36" t="str">
        <f aca="true" t="shared" si="58" ref="AM27:AM33">IF(H27&lt;1," ",H27)</f>
        <v> </v>
      </c>
      <c r="AN27" s="65" t="str">
        <f aca="true" t="shared" si="59" ref="AN27:AN33">IF(I27=0," ",IF(I27&lt;1,"-",I27))</f>
        <v> </v>
      </c>
    </row>
    <row r="28" spans="1:40" s="2" customFormat="1" ht="12.75">
      <c r="A28" s="309">
        <f>'liste améliorations'!A45</f>
        <v>6</v>
      </c>
      <c r="B28" s="1"/>
      <c r="C28" s="71" t="str">
        <f>'liste améliorations'!B45</f>
        <v>Isoler les vannes situées sur les conduites isolées</v>
      </c>
      <c r="D28" s="77" t="s">
        <v>201</v>
      </c>
      <c r="E28" s="440" t="str">
        <f>'liste améliorations'!B46</f>
        <v>90% des pertes de la vanne</v>
      </c>
      <c r="F28" s="293">
        <f>'liste améliorations'!C45</f>
        <v>2</v>
      </c>
      <c r="G28" s="294">
        <f>'liste améliorations'!D45</f>
        <v>1</v>
      </c>
      <c r="H28" s="404">
        <f>IF(AND('liens Q R'!K86=1,'liens Q R'!K88=2),'liens Q R'!L88,IF(AND(OR('liens Q R'!K86=1,'liens Q R'!K86=3),OR('liens Q R'!K88=2,'liens Q R'!K88=3)),0.05,0))</f>
        <v>0</v>
      </c>
      <c r="I28" s="412">
        <f t="shared" si="30"/>
        <v>0</v>
      </c>
      <c r="K28" s="45">
        <f t="shared" si="31"/>
        <v>3</v>
      </c>
      <c r="L28" s="42">
        <f t="shared" si="32"/>
        <v>0</v>
      </c>
      <c r="M28" s="43">
        <f t="shared" si="33"/>
        <v>0</v>
      </c>
      <c r="N28" s="42">
        <f t="shared" si="34"/>
        <v>0</v>
      </c>
      <c r="O28" s="43">
        <f t="shared" si="35"/>
        <v>0</v>
      </c>
      <c r="P28" s="42">
        <f t="shared" si="36"/>
        <v>0</v>
      </c>
      <c r="Q28" s="43">
        <f t="shared" si="37"/>
        <v>0</v>
      </c>
      <c r="R28" s="42">
        <f t="shared" si="38"/>
        <v>0</v>
      </c>
      <c r="S28" s="43">
        <f t="shared" si="39"/>
        <v>0</v>
      </c>
      <c r="T28" s="42">
        <f t="shared" si="40"/>
        <v>0</v>
      </c>
      <c r="U28" s="43">
        <f t="shared" si="41"/>
        <v>0</v>
      </c>
      <c r="V28" s="42">
        <f t="shared" si="42"/>
        <v>0</v>
      </c>
      <c r="W28" s="43">
        <f t="shared" si="43"/>
        <v>0</v>
      </c>
      <c r="X28" s="42">
        <f t="shared" si="44"/>
        <v>0</v>
      </c>
      <c r="Y28" s="43">
        <f t="shared" si="45"/>
        <v>0</v>
      </c>
      <c r="Z28" s="42">
        <f t="shared" si="46"/>
        <v>0</v>
      </c>
      <c r="AA28" s="43">
        <f t="shared" si="47"/>
        <v>0</v>
      </c>
      <c r="AB28" s="42">
        <f t="shared" si="48"/>
        <v>0</v>
      </c>
      <c r="AC28" s="43">
        <f t="shared" si="49"/>
        <v>0</v>
      </c>
      <c r="AD28" s="42">
        <f t="shared" si="50"/>
        <v>0</v>
      </c>
      <c r="AE28" s="43">
        <f t="shared" si="51"/>
        <v>0</v>
      </c>
      <c r="AF28" s="42">
        <f t="shared" si="52"/>
        <v>0</v>
      </c>
      <c r="AG28" s="43">
        <f t="shared" si="53"/>
        <v>0</v>
      </c>
      <c r="AH28" s="42">
        <f t="shared" si="54"/>
        <v>3</v>
      </c>
      <c r="AI28" s="43">
        <f t="shared" si="55"/>
        <v>3</v>
      </c>
      <c r="AK28" s="291" t="str">
        <f t="shared" si="56"/>
        <v> </v>
      </c>
      <c r="AL28" s="292" t="str">
        <f t="shared" si="57"/>
        <v> </v>
      </c>
      <c r="AM28" s="36" t="str">
        <f t="shared" si="58"/>
        <v> </v>
      </c>
      <c r="AN28" s="65" t="str">
        <f t="shared" si="59"/>
        <v> </v>
      </c>
    </row>
    <row r="29" spans="1:40" s="2" customFormat="1" ht="12.75">
      <c r="A29" s="309">
        <f>'liste améliorations'!A37</f>
        <v>2</v>
      </c>
      <c r="B29" s="1"/>
      <c r="C29" s="71" t="str">
        <f>'liste améliorations'!B37</f>
        <v>Réduire de vitesse les circulateurs à plusieurs vitesses</v>
      </c>
      <c r="D29" s="77" t="s">
        <v>200</v>
      </c>
      <c r="E29" s="440" t="str">
        <f>'liste améliorations'!B38</f>
        <v>… 40...% de la consommation électrique des circulateurs</v>
      </c>
      <c r="F29" s="293">
        <f>'liste améliorations'!C37</f>
        <v>3</v>
      </c>
      <c r="G29" s="294">
        <f>'liste améliorations'!D37</f>
        <v>3</v>
      </c>
      <c r="H29" s="407">
        <f>IF(OR('liens Q R'!K95=2,'liens Q R'!K97=2),MAX('liens Q R'!L95,'liens Q R'!L97),IF(OR('liens Q R'!K95=3,'liens Q R'!K97=3),0.05,0))</f>
        <v>0</v>
      </c>
      <c r="I29" s="412">
        <f>+F29*G29*H29</f>
        <v>0</v>
      </c>
      <c r="K29" s="45">
        <f t="shared" si="31"/>
        <v>4</v>
      </c>
      <c r="L29" s="42">
        <f t="shared" si="32"/>
        <v>0</v>
      </c>
      <c r="M29" s="43">
        <f t="shared" si="33"/>
        <v>0</v>
      </c>
      <c r="N29" s="42">
        <f t="shared" si="34"/>
        <v>0</v>
      </c>
      <c r="O29" s="43">
        <f t="shared" si="35"/>
        <v>0</v>
      </c>
      <c r="P29" s="42">
        <f t="shared" si="36"/>
        <v>0</v>
      </c>
      <c r="Q29" s="43">
        <f t="shared" si="37"/>
        <v>0</v>
      </c>
      <c r="R29" s="42">
        <f t="shared" si="38"/>
        <v>0</v>
      </c>
      <c r="S29" s="43">
        <f t="shared" si="39"/>
        <v>0</v>
      </c>
      <c r="T29" s="42">
        <f t="shared" si="40"/>
        <v>0</v>
      </c>
      <c r="U29" s="43">
        <f t="shared" si="41"/>
        <v>0</v>
      </c>
      <c r="V29" s="42">
        <f t="shared" si="42"/>
        <v>0</v>
      </c>
      <c r="W29" s="43">
        <f t="shared" si="43"/>
        <v>0</v>
      </c>
      <c r="X29" s="42">
        <f t="shared" si="44"/>
        <v>0</v>
      </c>
      <c r="Y29" s="43">
        <f t="shared" si="45"/>
        <v>0</v>
      </c>
      <c r="Z29" s="42">
        <f t="shared" si="46"/>
        <v>0</v>
      </c>
      <c r="AA29" s="43">
        <f t="shared" si="47"/>
        <v>0</v>
      </c>
      <c r="AB29" s="42">
        <f t="shared" si="48"/>
        <v>0</v>
      </c>
      <c r="AC29" s="43">
        <f t="shared" si="49"/>
        <v>0</v>
      </c>
      <c r="AD29" s="42">
        <f t="shared" si="50"/>
        <v>0</v>
      </c>
      <c r="AE29" s="43">
        <f t="shared" si="51"/>
        <v>0</v>
      </c>
      <c r="AF29" s="42">
        <f t="shared" si="52"/>
        <v>0</v>
      </c>
      <c r="AG29" s="43">
        <f t="shared" si="53"/>
        <v>0</v>
      </c>
      <c r="AH29" s="42">
        <f t="shared" si="54"/>
        <v>4</v>
      </c>
      <c r="AI29" s="43">
        <f t="shared" si="55"/>
        <v>4</v>
      </c>
      <c r="AK29" s="291" t="str">
        <f t="shared" si="56"/>
        <v> </v>
      </c>
      <c r="AL29" s="292" t="str">
        <f t="shared" si="57"/>
        <v> </v>
      </c>
      <c r="AM29" s="36" t="str">
        <f t="shared" si="58"/>
        <v> </v>
      </c>
      <c r="AN29" s="65" t="str">
        <f t="shared" si="59"/>
        <v> </v>
      </c>
    </row>
    <row r="30" spans="1:40" s="2" customFormat="1" ht="25.5">
      <c r="A30" s="309">
        <f>'liste améliorations'!A39</f>
        <v>3</v>
      </c>
      <c r="B30" s="1"/>
      <c r="C30" s="71" t="str">
        <f>'liste améliorations'!B39</f>
        <v>Remplacer les circulateurs existants par des circulateurs à vitesse variable</v>
      </c>
      <c r="D30" s="77" t="s">
        <v>202</v>
      </c>
      <c r="E30" s="440" t="str">
        <f>'liste améliorations'!B40</f>
        <v>40 … 50% de la consommation du circulateur</v>
      </c>
      <c r="F30" s="293">
        <f>'liste améliorations'!C39</f>
        <v>3</v>
      </c>
      <c r="G30" s="294">
        <f>'liste améliorations'!D39</f>
        <v>2</v>
      </c>
      <c r="H30" s="404">
        <f>IF(OR('liens Q R'!K95=2,'liens Q R'!K97=2,'liens Q R'!K101=2),MAX('liens Q R'!L95,'liens Q R'!L97,'liens Q R'!L101),IF(OR('liens Q R'!K95=3,'liens Q R'!K97=3,'liens Q R'!K101=3),0.05,0))</f>
        <v>0</v>
      </c>
      <c r="I30" s="412">
        <f t="shared" si="30"/>
        <v>0</v>
      </c>
      <c r="K30" s="45">
        <f t="shared" si="31"/>
        <v>5</v>
      </c>
      <c r="L30" s="42">
        <f t="shared" si="32"/>
        <v>0</v>
      </c>
      <c r="M30" s="43">
        <f t="shared" si="33"/>
        <v>0</v>
      </c>
      <c r="N30" s="42">
        <f t="shared" si="34"/>
        <v>0</v>
      </c>
      <c r="O30" s="43">
        <f t="shared" si="35"/>
        <v>0</v>
      </c>
      <c r="P30" s="42">
        <f t="shared" si="36"/>
        <v>0</v>
      </c>
      <c r="Q30" s="43">
        <f t="shared" si="37"/>
        <v>0</v>
      </c>
      <c r="R30" s="42">
        <f t="shared" si="38"/>
        <v>0</v>
      </c>
      <c r="S30" s="43">
        <f t="shared" si="39"/>
        <v>0</v>
      </c>
      <c r="T30" s="42">
        <f t="shared" si="40"/>
        <v>0</v>
      </c>
      <c r="U30" s="43">
        <f t="shared" si="41"/>
        <v>0</v>
      </c>
      <c r="V30" s="42">
        <f t="shared" si="42"/>
        <v>0</v>
      </c>
      <c r="W30" s="43">
        <f t="shared" si="43"/>
        <v>0</v>
      </c>
      <c r="X30" s="42">
        <f t="shared" si="44"/>
        <v>0</v>
      </c>
      <c r="Y30" s="43">
        <f t="shared" si="45"/>
        <v>0</v>
      </c>
      <c r="Z30" s="42">
        <f t="shared" si="46"/>
        <v>0</v>
      </c>
      <c r="AA30" s="43">
        <f t="shared" si="47"/>
        <v>0</v>
      </c>
      <c r="AB30" s="42">
        <f t="shared" si="48"/>
        <v>0</v>
      </c>
      <c r="AC30" s="43">
        <f t="shared" si="49"/>
        <v>0</v>
      </c>
      <c r="AD30" s="42">
        <f t="shared" si="50"/>
        <v>0</v>
      </c>
      <c r="AE30" s="43">
        <f t="shared" si="51"/>
        <v>0</v>
      </c>
      <c r="AF30" s="42">
        <f t="shared" si="52"/>
        <v>0</v>
      </c>
      <c r="AG30" s="43">
        <f t="shared" si="53"/>
        <v>0</v>
      </c>
      <c r="AH30" s="42">
        <f t="shared" si="54"/>
        <v>5</v>
      </c>
      <c r="AI30" s="43">
        <f t="shared" si="55"/>
        <v>5</v>
      </c>
      <c r="AK30" s="291" t="str">
        <f t="shared" si="56"/>
        <v> </v>
      </c>
      <c r="AL30" s="292" t="str">
        <f t="shared" si="57"/>
        <v> </v>
      </c>
      <c r="AM30" s="36" t="str">
        <f t="shared" si="58"/>
        <v> </v>
      </c>
      <c r="AN30" s="65" t="str">
        <f t="shared" si="59"/>
        <v> </v>
      </c>
    </row>
    <row r="31" spans="1:40" s="2" customFormat="1" ht="12.75">
      <c r="A31" s="309">
        <f>'liste améliorations'!A47</f>
        <v>7</v>
      </c>
      <c r="B31" s="3"/>
      <c r="C31" s="71" t="str">
        <f>'liste améliorations'!B47</f>
        <v>Adapter le découpage du réseau aux besoins des locaux</v>
      </c>
      <c r="D31" s="77"/>
      <c r="E31" s="440" t="str">
        <f>'liste améliorations'!B48</f>
        <v>  </v>
      </c>
      <c r="F31" s="293">
        <f>'liste améliorations'!C47</f>
        <v>2</v>
      </c>
      <c r="G31" s="294">
        <f>'liste améliorations'!D47</f>
        <v>1</v>
      </c>
      <c r="H31" s="407">
        <f>'liens Q R'!L111</f>
        <v>0</v>
      </c>
      <c r="I31" s="412">
        <f t="shared" si="30"/>
        <v>0</v>
      </c>
      <c r="K31" s="45">
        <f>L31+N31+P31+R31+T31+V31+X31+Z31+AB31+AD31+AF31+AH31</f>
        <v>6</v>
      </c>
      <c r="L31" s="42">
        <f t="shared" si="32"/>
        <v>0</v>
      </c>
      <c r="M31" s="43">
        <f t="shared" si="33"/>
        <v>0</v>
      </c>
      <c r="N31" s="42">
        <f t="shared" si="34"/>
        <v>0</v>
      </c>
      <c r="O31" s="43">
        <f t="shared" si="35"/>
        <v>0</v>
      </c>
      <c r="P31" s="42">
        <f t="shared" si="36"/>
        <v>0</v>
      </c>
      <c r="Q31" s="43">
        <f t="shared" si="37"/>
        <v>0</v>
      </c>
      <c r="R31" s="42">
        <f t="shared" si="38"/>
        <v>0</v>
      </c>
      <c r="S31" s="43">
        <f t="shared" si="39"/>
        <v>0</v>
      </c>
      <c r="T31" s="42">
        <f t="shared" si="40"/>
        <v>0</v>
      </c>
      <c r="U31" s="43">
        <f t="shared" si="41"/>
        <v>0</v>
      </c>
      <c r="V31" s="42">
        <f t="shared" si="42"/>
        <v>0</v>
      </c>
      <c r="W31" s="43">
        <f t="shared" si="43"/>
        <v>0</v>
      </c>
      <c r="X31" s="42">
        <f t="shared" si="44"/>
        <v>0</v>
      </c>
      <c r="Y31" s="43">
        <f t="shared" si="45"/>
        <v>0</v>
      </c>
      <c r="Z31" s="42">
        <f t="shared" si="46"/>
        <v>0</v>
      </c>
      <c r="AA31" s="43">
        <f t="shared" si="47"/>
        <v>0</v>
      </c>
      <c r="AB31" s="42">
        <f t="shared" si="48"/>
        <v>0</v>
      </c>
      <c r="AC31" s="43">
        <f t="shared" si="49"/>
        <v>0</v>
      </c>
      <c r="AD31" s="42">
        <f t="shared" si="50"/>
        <v>0</v>
      </c>
      <c r="AE31" s="43">
        <f t="shared" si="51"/>
        <v>0</v>
      </c>
      <c r="AF31" s="42">
        <f t="shared" si="52"/>
        <v>0</v>
      </c>
      <c r="AG31" s="43">
        <f t="shared" si="53"/>
        <v>0</v>
      </c>
      <c r="AH31" s="42">
        <f t="shared" si="54"/>
        <v>6</v>
      </c>
      <c r="AI31" s="43">
        <f t="shared" si="55"/>
        <v>6</v>
      </c>
      <c r="AK31" s="291" t="str">
        <f t="shared" si="56"/>
        <v> </v>
      </c>
      <c r="AL31" s="292" t="str">
        <f t="shared" si="57"/>
        <v> </v>
      </c>
      <c r="AM31" s="36" t="str">
        <f t="shared" si="58"/>
        <v> </v>
      </c>
      <c r="AN31" s="65" t="str">
        <f t="shared" si="59"/>
        <v> </v>
      </c>
    </row>
    <row r="32" spans="1:40" s="2" customFormat="1" ht="12.75">
      <c r="A32" s="309">
        <f>'liste améliorations'!A41</f>
        <v>4</v>
      </c>
      <c r="B32" s="1"/>
      <c r="C32" s="71" t="str">
        <f>'liste améliorations'!B41</f>
        <v>Équilibrer le réseau hydraulique</v>
      </c>
      <c r="D32" s="77" t="s">
        <v>203</v>
      </c>
      <c r="E32" s="441" t="str">
        <f>'liste améliorations'!B42</f>
        <v>Amélioration du confort, l'économie dépend de l'importance de la surchauffe globale pour essayer de satisfaire les occupants des locaux mal chauffés (1°C de trop…7 à 8% de surconsommation)</v>
      </c>
      <c r="F32" s="293">
        <f>'liste améliorations'!C41</f>
        <v>2</v>
      </c>
      <c r="G32" s="294">
        <f>'liste améliorations'!D41</f>
        <v>2</v>
      </c>
      <c r="H32" s="407">
        <f>IF(AND('liens Q R'!K122=1,'liens Q R'!K118=2),'liens Q R'!L118,IF(AND(OR('liens Q R'!K122=1,'liens Q R'!K122=3),OR('liens Q R'!K118=2,'liens Q R'!K118=3)),0.05,0))</f>
        <v>0</v>
      </c>
      <c r="I32" s="412">
        <f>+F32*G32*H32</f>
        <v>0</v>
      </c>
      <c r="K32" s="45">
        <f>L32+N32+P32+R32+T32+V32+X32+Z32+AB32+AD32+AF32+AH32</f>
        <v>7</v>
      </c>
      <c r="L32" s="42">
        <f t="shared" si="32"/>
        <v>0</v>
      </c>
      <c r="M32" s="43">
        <f t="shared" si="33"/>
        <v>0</v>
      </c>
      <c r="N32" s="42">
        <f t="shared" si="34"/>
        <v>0</v>
      </c>
      <c r="O32" s="43">
        <f t="shared" si="35"/>
        <v>0</v>
      </c>
      <c r="P32" s="42">
        <f t="shared" si="36"/>
        <v>0</v>
      </c>
      <c r="Q32" s="43">
        <f t="shared" si="37"/>
        <v>0</v>
      </c>
      <c r="R32" s="42">
        <f t="shared" si="38"/>
        <v>0</v>
      </c>
      <c r="S32" s="43">
        <f t="shared" si="39"/>
        <v>0</v>
      </c>
      <c r="T32" s="42">
        <f t="shared" si="40"/>
        <v>0</v>
      </c>
      <c r="U32" s="43">
        <f t="shared" si="41"/>
        <v>0</v>
      </c>
      <c r="V32" s="42">
        <f t="shared" si="42"/>
        <v>0</v>
      </c>
      <c r="W32" s="43">
        <f t="shared" si="43"/>
        <v>0</v>
      </c>
      <c r="X32" s="42">
        <f t="shared" si="44"/>
        <v>0</v>
      </c>
      <c r="Y32" s="43">
        <f t="shared" si="45"/>
        <v>0</v>
      </c>
      <c r="Z32" s="42">
        <f t="shared" si="46"/>
        <v>0</v>
      </c>
      <c r="AA32" s="43">
        <f t="shared" si="47"/>
        <v>0</v>
      </c>
      <c r="AB32" s="42">
        <f t="shared" si="48"/>
        <v>0</v>
      </c>
      <c r="AC32" s="43">
        <f t="shared" si="49"/>
        <v>0</v>
      </c>
      <c r="AD32" s="42">
        <f t="shared" si="50"/>
        <v>0</v>
      </c>
      <c r="AE32" s="43">
        <f t="shared" si="51"/>
        <v>0</v>
      </c>
      <c r="AF32" s="42">
        <f t="shared" si="52"/>
        <v>0</v>
      </c>
      <c r="AG32" s="43">
        <f t="shared" si="53"/>
        <v>0</v>
      </c>
      <c r="AH32" s="42">
        <f t="shared" si="54"/>
        <v>7</v>
      </c>
      <c r="AI32" s="43">
        <f t="shared" si="55"/>
        <v>7</v>
      </c>
      <c r="AK32" s="291" t="str">
        <f>IF(I32=0," ",F32)</f>
        <v> </v>
      </c>
      <c r="AL32" s="292" t="str">
        <f>IF(I32=0," ",G32)</f>
        <v> </v>
      </c>
      <c r="AM32" s="36" t="str">
        <f>IF(H32&lt;1," ",H32)</f>
        <v> </v>
      </c>
      <c r="AN32" s="65" t="str">
        <f>IF(I32=0," ",IF(I32&lt;1,"-",I32))</f>
        <v> </v>
      </c>
    </row>
    <row r="33" spans="1:40" ht="38.25">
      <c r="A33" s="309">
        <f>'liste améliorations'!A43</f>
        <v>5</v>
      </c>
      <c r="C33" s="71" t="str">
        <f>'liste améliorations'!B43</f>
        <v>Equiper le départ des différents circuits de vannes d'équilibrage et les radiateurs/ventilo-convecteurs de tés de réglage, puis équilibrer l'installation.</v>
      </c>
      <c r="D33" s="76" t="s">
        <v>204</v>
      </c>
      <c r="E33" s="440" t="str">
        <f>'liste améliorations'!B44</f>
        <v>Amélioration du confort, l'économie dépend de l'importance de la surchauffe globale pour essayer de satisfaire les occupants des locaux mal chauffés (1°C de trop…7 à 8% de surconsommation)</v>
      </c>
      <c r="F33" s="293">
        <f>'liste améliorations'!C43</f>
        <v>2</v>
      </c>
      <c r="G33" s="294">
        <f>'liste améliorations'!D43</f>
        <v>2</v>
      </c>
      <c r="H33" s="404">
        <f>IF(AND('liens Q R'!K118=2,'liens Q R'!K122=2),'liens Q R'!L122,IF(AND(OR('liens Q R'!K118=2,'liens Q R'!K118=3),OR('liens Q R'!K122=2,'liens Q R'!K122=3)),0.05,0))</f>
        <v>0</v>
      </c>
      <c r="I33" s="412">
        <f t="shared" si="30"/>
        <v>0</v>
      </c>
      <c r="K33" s="45">
        <f t="shared" si="31"/>
        <v>8</v>
      </c>
      <c r="L33" s="42">
        <f t="shared" si="32"/>
        <v>0</v>
      </c>
      <c r="M33" s="43">
        <f t="shared" si="33"/>
        <v>0</v>
      </c>
      <c r="N33" s="42">
        <f t="shared" si="34"/>
        <v>0</v>
      </c>
      <c r="O33" s="43">
        <f t="shared" si="35"/>
        <v>0</v>
      </c>
      <c r="P33" s="42">
        <f t="shared" si="36"/>
        <v>0</v>
      </c>
      <c r="Q33" s="43">
        <f t="shared" si="37"/>
        <v>0</v>
      </c>
      <c r="R33" s="42">
        <f t="shared" si="38"/>
        <v>0</v>
      </c>
      <c r="S33" s="43">
        <f t="shared" si="39"/>
        <v>0</v>
      </c>
      <c r="T33" s="42">
        <f t="shared" si="40"/>
        <v>0</v>
      </c>
      <c r="U33" s="43">
        <f t="shared" si="41"/>
        <v>0</v>
      </c>
      <c r="V33" s="42">
        <f t="shared" si="42"/>
        <v>0</v>
      </c>
      <c r="W33" s="43">
        <f t="shared" si="43"/>
        <v>0</v>
      </c>
      <c r="X33" s="42">
        <f t="shared" si="44"/>
        <v>0</v>
      </c>
      <c r="Y33" s="43">
        <f t="shared" si="45"/>
        <v>0</v>
      </c>
      <c r="Z33" s="42">
        <f t="shared" si="46"/>
        <v>0</v>
      </c>
      <c r="AA33" s="43">
        <f t="shared" si="47"/>
        <v>0</v>
      </c>
      <c r="AB33" s="42">
        <f t="shared" si="48"/>
        <v>0</v>
      </c>
      <c r="AC33" s="43">
        <f t="shared" si="49"/>
        <v>0</v>
      </c>
      <c r="AD33" s="42">
        <f t="shared" si="50"/>
        <v>0</v>
      </c>
      <c r="AE33" s="43">
        <f t="shared" si="51"/>
        <v>0</v>
      </c>
      <c r="AF33" s="42">
        <f t="shared" si="52"/>
        <v>0</v>
      </c>
      <c r="AG33" s="43">
        <f t="shared" si="53"/>
        <v>0</v>
      </c>
      <c r="AH33" s="42">
        <f t="shared" si="54"/>
        <v>8</v>
      </c>
      <c r="AI33" s="43">
        <f t="shared" si="55"/>
        <v>8</v>
      </c>
      <c r="AK33" s="291" t="str">
        <f t="shared" si="56"/>
        <v> </v>
      </c>
      <c r="AL33" s="292" t="str">
        <f t="shared" si="57"/>
        <v> </v>
      </c>
      <c r="AM33" s="36" t="str">
        <f t="shared" si="58"/>
        <v> </v>
      </c>
      <c r="AN33" s="65" t="str">
        <f t="shared" si="59"/>
        <v> </v>
      </c>
    </row>
    <row r="34" spans="1:40" ht="12.75">
      <c r="A34" s="308"/>
      <c r="C34" s="317"/>
      <c r="D34" s="317"/>
      <c r="E34" s="389"/>
      <c r="F34" s="288"/>
      <c r="G34" s="289"/>
      <c r="H34" s="408"/>
      <c r="I34" s="415"/>
      <c r="K34" s="45"/>
      <c r="AK34" s="288"/>
      <c r="AL34" s="289"/>
      <c r="AM34" s="290"/>
      <c r="AN34" s="66"/>
    </row>
    <row r="35" spans="1:40" ht="12.75">
      <c r="A35" s="72" t="s">
        <v>205</v>
      </c>
      <c r="C35" s="319"/>
      <c r="D35" s="319"/>
      <c r="F35" s="298"/>
      <c r="G35" s="299"/>
      <c r="H35" s="404"/>
      <c r="I35" s="412"/>
      <c r="AK35" s="298"/>
      <c r="AL35" s="299"/>
      <c r="AM35" s="36"/>
      <c r="AN35" s="65"/>
    </row>
    <row r="36" spans="1:40" ht="38.25">
      <c r="A36" s="309">
        <f>'liste améliorations'!A79</f>
        <v>14</v>
      </c>
      <c r="C36" s="71" t="str">
        <f>'liste améliorations'!B79</f>
        <v>Améliorer la régulation en cascade</v>
      </c>
      <c r="D36" s="443" t="s">
        <v>206</v>
      </c>
      <c r="E36" s="441" t="str">
        <f>'liste améliorations'!B80</f>
        <v>…2%...</v>
      </c>
      <c r="F36" s="293">
        <f>'liste améliorations'!C79</f>
        <v>1</v>
      </c>
      <c r="G36" s="294">
        <f>'liste améliorations'!D79</f>
        <v>3</v>
      </c>
      <c r="H36" s="407">
        <f>IF(OR('liens Q R'!K46=2,'liens Q R'!K51=2,AND('liens Q R'!K56=1,OR('liens Q R'!K59=2,'liens Q R'!K60=2)),AND('liens Q R'!K65=1,'liens Q R'!K67=2)),MAX('liens Q R'!L46,'liens Q R'!L51,'liens Q R'!L59,'liens Q R'!L60,'liens Q R'!L67),IF(OR('liens Q R'!K46=3,'liens Q R'!K51=3,AND(OR('liens Q R'!K56=1,'liens Q R'!K56=3),OR('liens Q R'!K59=2,'liens Q R'!K59=3,'liens Q R'!K60=2,'liens Q R'!K60=3)),AND(OR('liens Q R'!K65=1,'liens Q R'!K65=3),OR('liens Q R'!K67=2,'liens Q R'!K67=3))),0.05,0))</f>
        <v>0</v>
      </c>
      <c r="I36" s="412">
        <f aca="true" t="shared" si="60" ref="I36:I50">+F36*G36*H36</f>
        <v>0</v>
      </c>
      <c r="K36" s="45">
        <f aca="true" t="shared" si="61" ref="K36:K52">L36+N36+P36+R36+T36+V36+X36+Z36+AB36+AD36+AF36+AH36</f>
        <v>1</v>
      </c>
      <c r="L36" s="42">
        <f>IF(I36=27,1,0)</f>
        <v>0</v>
      </c>
      <c r="M36" s="43">
        <f>IF(I36=27,1,0)</f>
        <v>0</v>
      </c>
      <c r="N36" s="42">
        <f>IF($I36=N$9,M52+1,0)</f>
        <v>0</v>
      </c>
      <c r="O36" s="43">
        <f>IF($I36=N$9,N36,M52)</f>
        <v>0</v>
      </c>
      <c r="P36" s="42">
        <f>IF($I36=P$9,O52+1,0)</f>
        <v>0</v>
      </c>
      <c r="Q36" s="43">
        <f>IF($I36=P$9,P36,O52)</f>
        <v>0</v>
      </c>
      <c r="R36" s="42">
        <f>IF($I36=R$9,Q52+1,0)</f>
        <v>0</v>
      </c>
      <c r="S36" s="43">
        <f>IF($I36=R$9,R36,Q52)</f>
        <v>0</v>
      </c>
      <c r="T36" s="42">
        <f>IF($I36=T$9,S52+1,0)</f>
        <v>0</v>
      </c>
      <c r="U36" s="43">
        <f>IF($I36=T$9,T36,S52)</f>
        <v>0</v>
      </c>
      <c r="V36" s="42">
        <f>IF($I36=V$9,U52+1,0)</f>
        <v>0</v>
      </c>
      <c r="W36" s="43">
        <f>IF($I36=V$9,V36,U52)</f>
        <v>0</v>
      </c>
      <c r="X36" s="42">
        <f>IF($I36=X$9,W52+1,0)</f>
        <v>0</v>
      </c>
      <c r="Y36" s="43">
        <f>IF($I36=X$9,X36,W52)</f>
        <v>0</v>
      </c>
      <c r="Z36" s="42">
        <f>IF($I36=Z$9,Y52+1,0)</f>
        <v>0</v>
      </c>
      <c r="AA36" s="43">
        <f>IF($I36=Z$9,Z36,Y52)</f>
        <v>0</v>
      </c>
      <c r="AB36" s="42">
        <f>IF($I36=AB$9,AA52+1,0)</f>
        <v>0</v>
      </c>
      <c r="AC36" s="43">
        <f>IF($I36=AB$9,AB36,AA52)</f>
        <v>0</v>
      </c>
      <c r="AD36" s="42">
        <f>IF($I36=AD$9,AC52+1,0)</f>
        <v>0</v>
      </c>
      <c r="AE36" s="43">
        <f>IF($I36=AD$9,AD36,AC52)</f>
        <v>0</v>
      </c>
      <c r="AF36" s="42">
        <f>IF(AND($I36&gt;0,$I36&lt;1),AE52+1,0)</f>
        <v>0</v>
      </c>
      <c r="AG36" s="43">
        <f>IF(AND($I36&gt;0,$I36&lt;1),AF36,AE52)</f>
        <v>0</v>
      </c>
      <c r="AH36" s="42">
        <f>IF($I36=AH$9,AG52+1,0)</f>
        <v>1</v>
      </c>
      <c r="AI36" s="43">
        <f>IF($I36=AH$9,AH36,AG52)</f>
        <v>1</v>
      </c>
      <c r="AK36" s="291" t="str">
        <f aca="true" t="shared" si="62" ref="AK36:AK52">IF(I36=0," ",F36)</f>
        <v> </v>
      </c>
      <c r="AL36" s="292" t="str">
        <f aca="true" t="shared" si="63" ref="AL36:AL52">IF(I36=0," ",G36)</f>
        <v> </v>
      </c>
      <c r="AM36" s="36" t="str">
        <f aca="true" t="shared" si="64" ref="AM36:AM52">IF(H36&lt;1," ",H36)</f>
        <v> </v>
      </c>
      <c r="AN36" s="65" t="str">
        <f aca="true" t="shared" si="65" ref="AN36:AN52">IF(I36=0," ",IF(I36&lt;1,"-",I36))</f>
        <v> </v>
      </c>
    </row>
    <row r="37" spans="1:40" s="2" customFormat="1" ht="12.75">
      <c r="A37" s="309">
        <f>'liste améliorations'!A81</f>
        <v>15</v>
      </c>
      <c r="B37" s="3"/>
      <c r="C37" s="71" t="str">
        <f>'liste améliorations'!B81</f>
        <v>Mettre une chaudière à l'arrêt</v>
      </c>
      <c r="D37" s="443" t="s">
        <v>207</v>
      </c>
      <c r="E37" s="441" t="str">
        <f>'liste améliorations'!B82</f>
        <v>…2%...</v>
      </c>
      <c r="F37" s="293">
        <f>'liste améliorations'!C81</f>
        <v>1</v>
      </c>
      <c r="G37" s="294">
        <f>'liste améliorations'!D81</f>
        <v>3</v>
      </c>
      <c r="H37" s="407">
        <f>IF(OR('liens Q R'!K46=2,'liens Q R'!K51=2),MAX('liens Q R'!L46,'liens Q R'!L51),IF(OR('liens Q R'!K46=3,'liens Q R'!K51=3),0.05,0))</f>
        <v>0</v>
      </c>
      <c r="I37" s="412">
        <f t="shared" si="60"/>
        <v>0</v>
      </c>
      <c r="K37" s="45">
        <f t="shared" si="61"/>
        <v>2</v>
      </c>
      <c r="L37" s="42">
        <f aca="true" t="shared" si="66" ref="L37:L52">IF($I37=L$9,M36+1,0)</f>
        <v>0</v>
      </c>
      <c r="M37" s="43">
        <f aca="true" t="shared" si="67" ref="M37:M52">IF($I37=L$9,L37,M36)</f>
        <v>0</v>
      </c>
      <c r="N37" s="42">
        <f aca="true" t="shared" si="68" ref="N37:N52">IF($I37=N$9,O36+1,0)</f>
        <v>0</v>
      </c>
      <c r="O37" s="43">
        <f aca="true" t="shared" si="69" ref="O37:O52">IF($I37=N$9,N37,O36)</f>
        <v>0</v>
      </c>
      <c r="P37" s="42">
        <f aca="true" t="shared" si="70" ref="P37:P52">IF($I37=P$9,Q36+1,0)</f>
        <v>0</v>
      </c>
      <c r="Q37" s="43">
        <f aca="true" t="shared" si="71" ref="Q37:Q52">IF($I37=P$9,P37,Q36)</f>
        <v>0</v>
      </c>
      <c r="R37" s="42">
        <f aca="true" t="shared" si="72" ref="R37:R52">IF($I37=R$9,S36+1,0)</f>
        <v>0</v>
      </c>
      <c r="S37" s="43">
        <f aca="true" t="shared" si="73" ref="S37:S52">IF($I37=R$9,R37,S36)</f>
        <v>0</v>
      </c>
      <c r="T37" s="42">
        <f aca="true" t="shared" si="74" ref="T37:T52">IF($I37=T$9,U36+1,0)</f>
        <v>0</v>
      </c>
      <c r="U37" s="43">
        <f aca="true" t="shared" si="75" ref="U37:U52">IF($I37=T$9,T37,U36)</f>
        <v>0</v>
      </c>
      <c r="V37" s="42">
        <f aca="true" t="shared" si="76" ref="V37:V52">IF($I37=V$9,W36+1,0)</f>
        <v>0</v>
      </c>
      <c r="W37" s="43">
        <f aca="true" t="shared" si="77" ref="W37:W52">IF($I37=V$9,V37,W36)</f>
        <v>0</v>
      </c>
      <c r="X37" s="42">
        <f aca="true" t="shared" si="78" ref="X37:X52">IF($I37=X$9,Y36+1,0)</f>
        <v>0</v>
      </c>
      <c r="Y37" s="43">
        <f aca="true" t="shared" si="79" ref="Y37:Y52">IF($I37=X$9,X37,Y36)</f>
        <v>0</v>
      </c>
      <c r="Z37" s="42">
        <f aca="true" t="shared" si="80" ref="Z37:Z52">IF($I37=Z$9,AA36+1,0)</f>
        <v>0</v>
      </c>
      <c r="AA37" s="43">
        <f aca="true" t="shared" si="81" ref="AA37:AA52">IF($I37=Z$9,Z37,AA36)</f>
        <v>0</v>
      </c>
      <c r="AB37" s="42">
        <f aca="true" t="shared" si="82" ref="AB37:AB52">IF($I37=AB$9,AC36+1,0)</f>
        <v>0</v>
      </c>
      <c r="AC37" s="43">
        <f aca="true" t="shared" si="83" ref="AC37:AC52">IF($I37=AB$9,AB37,AC36)</f>
        <v>0</v>
      </c>
      <c r="AD37" s="42">
        <f aca="true" t="shared" si="84" ref="AD37:AD52">IF($I37=AD$9,AE36+1,0)</f>
        <v>0</v>
      </c>
      <c r="AE37" s="43">
        <f aca="true" t="shared" si="85" ref="AE37:AE52">IF($I37=AD$9,AD37,AE36)</f>
        <v>0</v>
      </c>
      <c r="AF37" s="42">
        <f aca="true" t="shared" si="86" ref="AF37:AF52">IF(AND($I37&gt;0,$I37&lt;1),AG36+1,0)</f>
        <v>0</v>
      </c>
      <c r="AG37" s="43">
        <f aca="true" t="shared" si="87" ref="AG37:AG52">IF(AND($I37&gt;0,$I37&lt;1),AF37,AG36)</f>
        <v>0</v>
      </c>
      <c r="AH37" s="42">
        <f aca="true" t="shared" si="88" ref="AH37:AH52">IF($I37=AH$9,AI36+1,0)</f>
        <v>2</v>
      </c>
      <c r="AI37" s="43">
        <f aca="true" t="shared" si="89" ref="AI37:AI52">IF($I37=AH$9,AH37,AI36)</f>
        <v>2</v>
      </c>
      <c r="AK37" s="291" t="str">
        <f t="shared" si="62"/>
        <v> </v>
      </c>
      <c r="AL37" s="292" t="str">
        <f t="shared" si="63"/>
        <v> </v>
      </c>
      <c r="AM37" s="36" t="str">
        <f t="shared" si="64"/>
        <v> </v>
      </c>
      <c r="AN37" s="65" t="str">
        <f t="shared" si="65"/>
        <v> </v>
      </c>
    </row>
    <row r="38" spans="1:40" ht="38.25">
      <c r="A38" s="309">
        <f>'liste améliorations'!A61</f>
        <v>5</v>
      </c>
      <c r="B38" s="177"/>
      <c r="C38" s="71" t="str">
        <f>'liste améliorations'!B61</f>
        <v>Vérifier les paramètres de régulation de la chaudière à condensation pour permettre la condensation (l'eau arrive froide à la chaudière) </v>
      </c>
      <c r="D38" s="76"/>
      <c r="E38" s="441" t="str">
        <f>'liste améliorations'!B62</f>
        <v>… 6 ...%</v>
      </c>
      <c r="F38" s="293">
        <f>'liste améliorations'!C61</f>
        <v>2</v>
      </c>
      <c r="G38" s="294">
        <f>'liste améliorations'!D61</f>
        <v>3</v>
      </c>
      <c r="H38" s="407">
        <f>'liens Q R'!L73</f>
        <v>0</v>
      </c>
      <c r="I38" s="412">
        <f t="shared" si="60"/>
        <v>0</v>
      </c>
      <c r="K38" s="45">
        <f t="shared" si="61"/>
        <v>3</v>
      </c>
      <c r="L38" s="42">
        <f t="shared" si="66"/>
        <v>0</v>
      </c>
      <c r="M38" s="43">
        <f t="shared" si="67"/>
        <v>0</v>
      </c>
      <c r="N38" s="42">
        <f t="shared" si="68"/>
        <v>0</v>
      </c>
      <c r="O38" s="43">
        <f t="shared" si="69"/>
        <v>0</v>
      </c>
      <c r="P38" s="42">
        <f t="shared" si="70"/>
        <v>0</v>
      </c>
      <c r="Q38" s="43">
        <f t="shared" si="71"/>
        <v>0</v>
      </c>
      <c r="R38" s="42">
        <f t="shared" si="72"/>
        <v>0</v>
      </c>
      <c r="S38" s="43">
        <f t="shared" si="73"/>
        <v>0</v>
      </c>
      <c r="T38" s="42">
        <f t="shared" si="74"/>
        <v>0</v>
      </c>
      <c r="U38" s="43">
        <f t="shared" si="75"/>
        <v>0</v>
      </c>
      <c r="V38" s="42">
        <f t="shared" si="76"/>
        <v>0</v>
      </c>
      <c r="W38" s="43">
        <f t="shared" si="77"/>
        <v>0</v>
      </c>
      <c r="X38" s="42">
        <f t="shared" si="78"/>
        <v>0</v>
      </c>
      <c r="Y38" s="43">
        <f t="shared" si="79"/>
        <v>0</v>
      </c>
      <c r="Z38" s="42">
        <f t="shared" si="80"/>
        <v>0</v>
      </c>
      <c r="AA38" s="43">
        <f t="shared" si="81"/>
        <v>0</v>
      </c>
      <c r="AB38" s="42">
        <f t="shared" si="82"/>
        <v>0</v>
      </c>
      <c r="AC38" s="43">
        <f t="shared" si="83"/>
        <v>0</v>
      </c>
      <c r="AD38" s="42">
        <f t="shared" si="84"/>
        <v>0</v>
      </c>
      <c r="AE38" s="43">
        <f t="shared" si="85"/>
        <v>0</v>
      </c>
      <c r="AF38" s="42">
        <f t="shared" si="86"/>
        <v>0</v>
      </c>
      <c r="AG38" s="43">
        <f t="shared" si="87"/>
        <v>0</v>
      </c>
      <c r="AH38" s="42">
        <f t="shared" si="88"/>
        <v>3</v>
      </c>
      <c r="AI38" s="43">
        <f t="shared" si="89"/>
        <v>3</v>
      </c>
      <c r="AK38" s="291" t="str">
        <f t="shared" si="62"/>
        <v> </v>
      </c>
      <c r="AL38" s="292" t="str">
        <f t="shared" si="63"/>
        <v> </v>
      </c>
      <c r="AM38" s="36" t="str">
        <f t="shared" si="64"/>
        <v> </v>
      </c>
      <c r="AN38" s="65" t="str">
        <f t="shared" si="65"/>
        <v> </v>
      </c>
    </row>
    <row r="39" spans="1:40" ht="12.75">
      <c r="A39" s="309">
        <f>'liste améliorations'!A67</f>
        <v>8</v>
      </c>
      <c r="C39" s="71" t="str">
        <f>'liste améliorations'!B67</f>
        <v>Equiper les différents circuits d'une régulation indépendante.</v>
      </c>
      <c r="D39" s="442" t="s">
        <v>123</v>
      </c>
      <c r="E39" s="440" t="str">
        <f>'liste améliorations'!B68</f>
        <v>1°C de trop…7 à 8% de surconsommation</v>
      </c>
      <c r="F39" s="296">
        <f>'liste améliorations'!C67</f>
        <v>2</v>
      </c>
      <c r="G39" s="297">
        <f>'liste améliorations'!D67</f>
        <v>3</v>
      </c>
      <c r="H39" s="404">
        <f>IF(AND('liens Q R'!K111=1,'liens Q R'!K114=2),'liens Q R'!L114,IF(AND(OR('liens Q R'!K111=1,'liens Q R'!K111=3),OR('liens Q R'!K114=2,'liens Q R'!K114=3)),0.05,0))</f>
        <v>0</v>
      </c>
      <c r="I39" s="412">
        <f t="shared" si="60"/>
        <v>0</v>
      </c>
      <c r="K39" s="45">
        <f t="shared" si="61"/>
        <v>4</v>
      </c>
      <c r="L39" s="42">
        <f t="shared" si="66"/>
        <v>0</v>
      </c>
      <c r="M39" s="43">
        <f t="shared" si="67"/>
        <v>0</v>
      </c>
      <c r="N39" s="42">
        <f t="shared" si="68"/>
        <v>0</v>
      </c>
      <c r="O39" s="43">
        <f t="shared" si="69"/>
        <v>0</v>
      </c>
      <c r="P39" s="42">
        <f t="shared" si="70"/>
        <v>0</v>
      </c>
      <c r="Q39" s="43">
        <f t="shared" si="71"/>
        <v>0</v>
      </c>
      <c r="R39" s="42">
        <f t="shared" si="72"/>
        <v>0</v>
      </c>
      <c r="S39" s="43">
        <f t="shared" si="73"/>
        <v>0</v>
      </c>
      <c r="T39" s="42">
        <f t="shared" si="74"/>
        <v>0</v>
      </c>
      <c r="U39" s="43">
        <f t="shared" si="75"/>
        <v>0</v>
      </c>
      <c r="V39" s="42">
        <f t="shared" si="76"/>
        <v>0</v>
      </c>
      <c r="W39" s="43">
        <f t="shared" si="77"/>
        <v>0</v>
      </c>
      <c r="X39" s="42">
        <f t="shared" si="78"/>
        <v>0</v>
      </c>
      <c r="Y39" s="43">
        <f t="shared" si="79"/>
        <v>0</v>
      </c>
      <c r="Z39" s="42">
        <f t="shared" si="80"/>
        <v>0</v>
      </c>
      <c r="AA39" s="43">
        <f t="shared" si="81"/>
        <v>0</v>
      </c>
      <c r="AB39" s="42">
        <f t="shared" si="82"/>
        <v>0</v>
      </c>
      <c r="AC39" s="43">
        <f t="shared" si="83"/>
        <v>0</v>
      </c>
      <c r="AD39" s="42">
        <f t="shared" si="84"/>
        <v>0</v>
      </c>
      <c r="AE39" s="43">
        <f t="shared" si="85"/>
        <v>0</v>
      </c>
      <c r="AF39" s="42">
        <f t="shared" si="86"/>
        <v>0</v>
      </c>
      <c r="AG39" s="43">
        <f t="shared" si="87"/>
        <v>0</v>
      </c>
      <c r="AH39" s="42">
        <f t="shared" si="88"/>
        <v>4</v>
      </c>
      <c r="AI39" s="43">
        <f t="shared" si="89"/>
        <v>4</v>
      </c>
      <c r="AK39" s="291" t="str">
        <f t="shared" si="62"/>
        <v> </v>
      </c>
      <c r="AL39" s="292" t="str">
        <f t="shared" si="63"/>
        <v> </v>
      </c>
      <c r="AM39" s="36" t="str">
        <f t="shared" si="64"/>
        <v> </v>
      </c>
      <c r="AN39" s="65" t="str">
        <f t="shared" si="65"/>
        <v> </v>
      </c>
    </row>
    <row r="40" spans="1:40" s="2" customFormat="1" ht="12.75">
      <c r="A40" s="309">
        <f>'liste améliorations'!A53</f>
        <v>1</v>
      </c>
      <c r="B40" s="3"/>
      <c r="C40" s="71" t="str">
        <f>'liste améliorations'!B53</f>
        <v>Arrêter l'installation de chauffage la nuit et le week-end</v>
      </c>
      <c r="D40" s="444" t="s">
        <v>208</v>
      </c>
      <c r="E40" s="440" t="str">
        <f>'liste améliorations'!B54</f>
        <v>15 à 30 %</v>
      </c>
      <c r="F40" s="293">
        <f>'liste améliorations'!C53</f>
        <v>3</v>
      </c>
      <c r="G40" s="294">
        <f>'liste améliorations'!D53</f>
        <v>3</v>
      </c>
      <c r="H40" s="407">
        <f>'liens Q R'!L132</f>
        <v>0</v>
      </c>
      <c r="I40" s="412">
        <f t="shared" si="60"/>
        <v>0</v>
      </c>
      <c r="K40" s="45">
        <f t="shared" si="61"/>
        <v>5</v>
      </c>
      <c r="L40" s="42">
        <f t="shared" si="66"/>
        <v>0</v>
      </c>
      <c r="M40" s="43">
        <f t="shared" si="67"/>
        <v>0</v>
      </c>
      <c r="N40" s="42">
        <f t="shared" si="68"/>
        <v>0</v>
      </c>
      <c r="O40" s="43">
        <f t="shared" si="69"/>
        <v>0</v>
      </c>
      <c r="P40" s="42">
        <f t="shared" si="70"/>
        <v>0</v>
      </c>
      <c r="Q40" s="43">
        <f t="shared" si="71"/>
        <v>0</v>
      </c>
      <c r="R40" s="42">
        <f t="shared" si="72"/>
        <v>0</v>
      </c>
      <c r="S40" s="43">
        <f t="shared" si="73"/>
        <v>0</v>
      </c>
      <c r="T40" s="42">
        <f t="shared" si="74"/>
        <v>0</v>
      </c>
      <c r="U40" s="43">
        <f t="shared" si="75"/>
        <v>0</v>
      </c>
      <c r="V40" s="42">
        <f t="shared" si="76"/>
        <v>0</v>
      </c>
      <c r="W40" s="43">
        <f t="shared" si="77"/>
        <v>0</v>
      </c>
      <c r="X40" s="42">
        <f t="shared" si="78"/>
        <v>0</v>
      </c>
      <c r="Y40" s="43">
        <f t="shared" si="79"/>
        <v>0</v>
      </c>
      <c r="Z40" s="42">
        <f t="shared" si="80"/>
        <v>0</v>
      </c>
      <c r="AA40" s="43">
        <f t="shared" si="81"/>
        <v>0</v>
      </c>
      <c r="AB40" s="42">
        <f t="shared" si="82"/>
        <v>0</v>
      </c>
      <c r="AC40" s="43">
        <f t="shared" si="83"/>
        <v>0</v>
      </c>
      <c r="AD40" s="42">
        <f t="shared" si="84"/>
        <v>0</v>
      </c>
      <c r="AE40" s="43">
        <f t="shared" si="85"/>
        <v>0</v>
      </c>
      <c r="AF40" s="42">
        <f t="shared" si="86"/>
        <v>0</v>
      </c>
      <c r="AG40" s="43">
        <f t="shared" si="87"/>
        <v>0</v>
      </c>
      <c r="AH40" s="42">
        <f t="shared" si="88"/>
        <v>5</v>
      </c>
      <c r="AI40" s="43">
        <f t="shared" si="89"/>
        <v>5</v>
      </c>
      <c r="AK40" s="291" t="str">
        <f t="shared" si="62"/>
        <v> </v>
      </c>
      <c r="AL40" s="292" t="str">
        <f t="shared" si="63"/>
        <v> </v>
      </c>
      <c r="AM40" s="36" t="str">
        <f t="shared" si="64"/>
        <v> </v>
      </c>
      <c r="AN40" s="65" t="str">
        <f t="shared" si="65"/>
        <v> </v>
      </c>
    </row>
    <row r="41" spans="1:40" ht="25.5">
      <c r="A41" s="309">
        <f>'liste améliorations'!A55</f>
        <v>2</v>
      </c>
      <c r="C41" s="71" t="str">
        <f>'liste améliorations'!B55</f>
        <v>Pratiquer un ralenti par coupure complète de l'installation, contrôlée par thermostat d'ambiance</v>
      </c>
      <c r="D41" s="76" t="s">
        <v>213</v>
      </c>
      <c r="E41" s="441" t="str">
        <f>'liste améliorations'!B56</f>
        <v>5…15 %</v>
      </c>
      <c r="F41" s="293">
        <f>'liste améliorations'!C55</f>
        <v>3</v>
      </c>
      <c r="G41" s="294">
        <f>'liste améliorations'!D55</f>
        <v>3</v>
      </c>
      <c r="H41" s="407">
        <f>IF(AND('liens Q R'!K132=1,'liens Q R'!K136=2),'liens Q R'!L136,IF(AND(OR('liens Q R'!K132=1,'liens Q R'!K132=3),OR('liens Q R'!K136=2,'liens Q R'!K136=3)),0.05,0))</f>
        <v>0</v>
      </c>
      <c r="I41" s="412">
        <f t="shared" si="60"/>
        <v>0</v>
      </c>
      <c r="K41" s="45">
        <f t="shared" si="61"/>
        <v>6</v>
      </c>
      <c r="L41" s="42">
        <f t="shared" si="66"/>
        <v>0</v>
      </c>
      <c r="M41" s="43">
        <f t="shared" si="67"/>
        <v>0</v>
      </c>
      <c r="N41" s="42">
        <f t="shared" si="68"/>
        <v>0</v>
      </c>
      <c r="O41" s="43">
        <f t="shared" si="69"/>
        <v>0</v>
      </c>
      <c r="P41" s="42">
        <f t="shared" si="70"/>
        <v>0</v>
      </c>
      <c r="Q41" s="43">
        <f t="shared" si="71"/>
        <v>0</v>
      </c>
      <c r="R41" s="42">
        <f t="shared" si="72"/>
        <v>0</v>
      </c>
      <c r="S41" s="43">
        <f t="shared" si="73"/>
        <v>0</v>
      </c>
      <c r="T41" s="42">
        <f t="shared" si="74"/>
        <v>0</v>
      </c>
      <c r="U41" s="43">
        <f t="shared" si="75"/>
        <v>0</v>
      </c>
      <c r="V41" s="42">
        <f t="shared" si="76"/>
        <v>0</v>
      </c>
      <c r="W41" s="43">
        <f t="shared" si="77"/>
        <v>0</v>
      </c>
      <c r="X41" s="42">
        <f t="shared" si="78"/>
        <v>0</v>
      </c>
      <c r="Y41" s="43">
        <f t="shared" si="79"/>
        <v>0</v>
      </c>
      <c r="Z41" s="42">
        <f t="shared" si="80"/>
        <v>0</v>
      </c>
      <c r="AA41" s="43">
        <f t="shared" si="81"/>
        <v>0</v>
      </c>
      <c r="AB41" s="42">
        <f t="shared" si="82"/>
        <v>0</v>
      </c>
      <c r="AC41" s="43">
        <f t="shared" si="83"/>
        <v>0</v>
      </c>
      <c r="AD41" s="42">
        <f t="shared" si="84"/>
        <v>0</v>
      </c>
      <c r="AE41" s="43">
        <f t="shared" si="85"/>
        <v>0</v>
      </c>
      <c r="AF41" s="42">
        <f t="shared" si="86"/>
        <v>0</v>
      </c>
      <c r="AG41" s="43">
        <f t="shared" si="87"/>
        <v>0</v>
      </c>
      <c r="AH41" s="42">
        <f t="shared" si="88"/>
        <v>6</v>
      </c>
      <c r="AI41" s="43">
        <f t="shared" si="89"/>
        <v>6</v>
      </c>
      <c r="AK41" s="291" t="str">
        <f t="shared" si="62"/>
        <v> </v>
      </c>
      <c r="AL41" s="292" t="str">
        <f t="shared" si="63"/>
        <v> </v>
      </c>
      <c r="AM41" s="36" t="str">
        <f t="shared" si="64"/>
        <v> </v>
      </c>
      <c r="AN41" s="65" t="str">
        <f t="shared" si="65"/>
        <v> </v>
      </c>
    </row>
    <row r="42" spans="1:40" s="2" customFormat="1" ht="51">
      <c r="A42" s="309">
        <f>'liste améliorations'!A57</f>
        <v>3</v>
      </c>
      <c r="B42" s="3"/>
      <c r="C42" s="71" t="str">
        <f>'liste améliorations'!B57</f>
        <v>Remplacer l'horloge afin de pouvoir programmer le fonctionnement de l'installation conformément à l'utilisation du bâtiment (en fonction du jour de la semaine, des jours de congé,…)</v>
      </c>
      <c r="D42" s="76" t="s">
        <v>228</v>
      </c>
      <c r="E42" s="441" t="str">
        <f>'liste améliorations'!B58</f>
        <v>5 ... 15 %</v>
      </c>
      <c r="F42" s="293">
        <f>'liste améliorations'!C57</f>
        <v>3</v>
      </c>
      <c r="G42" s="294">
        <f>'liste améliorations'!D57</f>
        <v>3</v>
      </c>
      <c r="H42" s="407">
        <f>IF(AND('liens Q R'!K132=1,'liens Q R'!K138=2),'liens Q R'!L138,IF(AND(OR('liens Q R'!K132=1,'liens Q R'!K132=3),OR('liens Q R'!K138=2,'liens Q R'!K138=3)),0.05,0))</f>
        <v>0</v>
      </c>
      <c r="I42" s="412">
        <f t="shared" si="60"/>
        <v>0</v>
      </c>
      <c r="K42" s="45">
        <f t="shared" si="61"/>
        <v>7</v>
      </c>
      <c r="L42" s="42">
        <f t="shared" si="66"/>
        <v>0</v>
      </c>
      <c r="M42" s="43">
        <f t="shared" si="67"/>
        <v>0</v>
      </c>
      <c r="N42" s="42">
        <f t="shared" si="68"/>
        <v>0</v>
      </c>
      <c r="O42" s="43">
        <f t="shared" si="69"/>
        <v>0</v>
      </c>
      <c r="P42" s="42">
        <f t="shared" si="70"/>
        <v>0</v>
      </c>
      <c r="Q42" s="43">
        <f t="shared" si="71"/>
        <v>0</v>
      </c>
      <c r="R42" s="42">
        <f t="shared" si="72"/>
        <v>0</v>
      </c>
      <c r="S42" s="43">
        <f t="shared" si="73"/>
        <v>0</v>
      </c>
      <c r="T42" s="42">
        <f t="shared" si="74"/>
        <v>0</v>
      </c>
      <c r="U42" s="43">
        <f t="shared" si="75"/>
        <v>0</v>
      </c>
      <c r="V42" s="42">
        <f t="shared" si="76"/>
        <v>0</v>
      </c>
      <c r="W42" s="43">
        <f t="shared" si="77"/>
        <v>0</v>
      </c>
      <c r="X42" s="42">
        <f t="shared" si="78"/>
        <v>0</v>
      </c>
      <c r="Y42" s="43">
        <f t="shared" si="79"/>
        <v>0</v>
      </c>
      <c r="Z42" s="42">
        <f t="shared" si="80"/>
        <v>0</v>
      </c>
      <c r="AA42" s="43">
        <f t="shared" si="81"/>
        <v>0</v>
      </c>
      <c r="AB42" s="42">
        <f t="shared" si="82"/>
        <v>0</v>
      </c>
      <c r="AC42" s="43">
        <f t="shared" si="83"/>
        <v>0</v>
      </c>
      <c r="AD42" s="42">
        <f t="shared" si="84"/>
        <v>0</v>
      </c>
      <c r="AE42" s="43">
        <f t="shared" si="85"/>
        <v>0</v>
      </c>
      <c r="AF42" s="42">
        <f t="shared" si="86"/>
        <v>0</v>
      </c>
      <c r="AG42" s="43">
        <f t="shared" si="87"/>
        <v>0</v>
      </c>
      <c r="AH42" s="42">
        <f t="shared" si="88"/>
        <v>7</v>
      </c>
      <c r="AI42" s="43">
        <f t="shared" si="89"/>
        <v>7</v>
      </c>
      <c r="AK42" s="291" t="str">
        <f t="shared" si="62"/>
        <v> </v>
      </c>
      <c r="AL42" s="292" t="str">
        <f t="shared" si="63"/>
        <v> </v>
      </c>
      <c r="AM42" s="36" t="str">
        <f t="shared" si="64"/>
        <v> </v>
      </c>
      <c r="AN42" s="65" t="str">
        <f t="shared" si="65"/>
        <v> </v>
      </c>
    </row>
    <row r="43" spans="1:40" ht="25.5">
      <c r="A43" s="309">
        <f>'liste améliorations'!A65</f>
        <v>7</v>
      </c>
      <c r="C43" s="71" t="str">
        <f>'liste améliorations'!B65</f>
        <v>Adapter les horaires de la régulation aux horaires d'occupation réels du bâtiment</v>
      </c>
      <c r="D43" s="76" t="s">
        <v>214</v>
      </c>
      <c r="E43" s="441" t="str">
        <f>'liste améliorations'!B66</f>
        <v>… 5% … si l'installation est coupée 14h00 au lieu de 12h00</v>
      </c>
      <c r="F43" s="293">
        <f>'liste améliorations'!C65</f>
        <v>2</v>
      </c>
      <c r="G43" s="294">
        <f>'liste améliorations'!D65</f>
        <v>3</v>
      </c>
      <c r="H43" s="407">
        <f>IF(AND('liens Q R'!K132=1,'liens Q R'!K140=2),'liens Q R'!L140,IF(AND(OR('liens Q R'!K132=1,'liens Q R'!K132=3),OR('liens Q R'!K140=2,'liens Q R'!K140=3)),0.05,0))</f>
        <v>0</v>
      </c>
      <c r="I43" s="412">
        <f t="shared" si="60"/>
        <v>0</v>
      </c>
      <c r="K43" s="45">
        <f t="shared" si="61"/>
        <v>8</v>
      </c>
      <c r="L43" s="42">
        <f t="shared" si="66"/>
        <v>0</v>
      </c>
      <c r="M43" s="43">
        <f t="shared" si="67"/>
        <v>0</v>
      </c>
      <c r="N43" s="42">
        <f t="shared" si="68"/>
        <v>0</v>
      </c>
      <c r="O43" s="43">
        <f t="shared" si="69"/>
        <v>0</v>
      </c>
      <c r="P43" s="42">
        <f t="shared" si="70"/>
        <v>0</v>
      </c>
      <c r="Q43" s="43">
        <f t="shared" si="71"/>
        <v>0</v>
      </c>
      <c r="R43" s="42">
        <f t="shared" si="72"/>
        <v>0</v>
      </c>
      <c r="S43" s="43">
        <f t="shared" si="73"/>
        <v>0</v>
      </c>
      <c r="T43" s="42">
        <f t="shared" si="74"/>
        <v>0</v>
      </c>
      <c r="U43" s="43">
        <f t="shared" si="75"/>
        <v>0</v>
      </c>
      <c r="V43" s="42">
        <f t="shared" si="76"/>
        <v>0</v>
      </c>
      <c r="W43" s="43">
        <f t="shared" si="77"/>
        <v>0</v>
      </c>
      <c r="X43" s="42">
        <f t="shared" si="78"/>
        <v>0</v>
      </c>
      <c r="Y43" s="43">
        <f t="shared" si="79"/>
        <v>0</v>
      </c>
      <c r="Z43" s="42">
        <f t="shared" si="80"/>
        <v>0</v>
      </c>
      <c r="AA43" s="43">
        <f t="shared" si="81"/>
        <v>0</v>
      </c>
      <c r="AB43" s="42">
        <f t="shared" si="82"/>
        <v>0</v>
      </c>
      <c r="AC43" s="43">
        <f t="shared" si="83"/>
        <v>0</v>
      </c>
      <c r="AD43" s="42">
        <f t="shared" si="84"/>
        <v>0</v>
      </c>
      <c r="AE43" s="43">
        <f t="shared" si="85"/>
        <v>0</v>
      </c>
      <c r="AF43" s="42">
        <f t="shared" si="86"/>
        <v>0</v>
      </c>
      <c r="AG43" s="43">
        <f t="shared" si="87"/>
        <v>0</v>
      </c>
      <c r="AH43" s="42">
        <f t="shared" si="88"/>
        <v>8</v>
      </c>
      <c r="AI43" s="43">
        <f t="shared" si="89"/>
        <v>8</v>
      </c>
      <c r="AK43" s="291" t="str">
        <f t="shared" si="62"/>
        <v> </v>
      </c>
      <c r="AL43" s="292" t="str">
        <f t="shared" si="63"/>
        <v> </v>
      </c>
      <c r="AM43" s="36" t="str">
        <f t="shared" si="64"/>
        <v> </v>
      </c>
      <c r="AN43" s="65" t="str">
        <f t="shared" si="65"/>
        <v> </v>
      </c>
    </row>
    <row r="44" spans="1:40" ht="25.5">
      <c r="A44" s="309">
        <f>'liste améliorations'!A59</f>
        <v>4</v>
      </c>
      <c r="C44" s="71" t="str">
        <f>'liste améliorations'!B59</f>
        <v>Arrêter les circulateurs lorsqu'il n'y a pas de besoin de chauffage </v>
      </c>
      <c r="D44" s="443"/>
      <c r="E44" s="441" t="str">
        <f>'liste améliorations'!B60</f>
        <v>50 % de la consommation des circulateurs</v>
      </c>
      <c r="F44" s="293">
        <f>'liste améliorations'!C59</f>
        <v>3</v>
      </c>
      <c r="G44" s="294">
        <f>'liste améliorations'!D59</f>
        <v>3</v>
      </c>
      <c r="H44" s="407">
        <f>'liens Q R'!L144</f>
        <v>0</v>
      </c>
      <c r="I44" s="412">
        <f t="shared" si="60"/>
        <v>0</v>
      </c>
      <c r="K44" s="45">
        <f t="shared" si="61"/>
        <v>9</v>
      </c>
      <c r="L44" s="42">
        <f t="shared" si="66"/>
        <v>0</v>
      </c>
      <c r="M44" s="43">
        <f t="shared" si="67"/>
        <v>0</v>
      </c>
      <c r="N44" s="42">
        <f t="shared" si="68"/>
        <v>0</v>
      </c>
      <c r="O44" s="43">
        <f t="shared" si="69"/>
        <v>0</v>
      </c>
      <c r="P44" s="42">
        <f t="shared" si="70"/>
        <v>0</v>
      </c>
      <c r="Q44" s="43">
        <f t="shared" si="71"/>
        <v>0</v>
      </c>
      <c r="R44" s="42">
        <f t="shared" si="72"/>
        <v>0</v>
      </c>
      <c r="S44" s="43">
        <f t="shared" si="73"/>
        <v>0</v>
      </c>
      <c r="T44" s="42">
        <f t="shared" si="74"/>
        <v>0</v>
      </c>
      <c r="U44" s="43">
        <f t="shared" si="75"/>
        <v>0</v>
      </c>
      <c r="V44" s="42">
        <f t="shared" si="76"/>
        <v>0</v>
      </c>
      <c r="W44" s="43">
        <f t="shared" si="77"/>
        <v>0</v>
      </c>
      <c r="X44" s="42">
        <f t="shared" si="78"/>
        <v>0</v>
      </c>
      <c r="Y44" s="43">
        <f t="shared" si="79"/>
        <v>0</v>
      </c>
      <c r="Z44" s="42">
        <f t="shared" si="80"/>
        <v>0</v>
      </c>
      <c r="AA44" s="43">
        <f t="shared" si="81"/>
        <v>0</v>
      </c>
      <c r="AB44" s="42">
        <f t="shared" si="82"/>
        <v>0</v>
      </c>
      <c r="AC44" s="43">
        <f t="shared" si="83"/>
        <v>0</v>
      </c>
      <c r="AD44" s="42">
        <f t="shared" si="84"/>
        <v>0</v>
      </c>
      <c r="AE44" s="43">
        <f t="shared" si="85"/>
        <v>0</v>
      </c>
      <c r="AF44" s="42">
        <f t="shared" si="86"/>
        <v>0</v>
      </c>
      <c r="AG44" s="43">
        <f t="shared" si="87"/>
        <v>0</v>
      </c>
      <c r="AH44" s="42">
        <f t="shared" si="88"/>
        <v>9</v>
      </c>
      <c r="AI44" s="43">
        <f t="shared" si="89"/>
        <v>9</v>
      </c>
      <c r="AK44" s="291" t="str">
        <f t="shared" si="62"/>
        <v> </v>
      </c>
      <c r="AL44" s="292" t="str">
        <f t="shared" si="63"/>
        <v> </v>
      </c>
      <c r="AM44" s="36" t="str">
        <f t="shared" si="64"/>
        <v> </v>
      </c>
      <c r="AN44" s="65" t="str">
        <f t="shared" si="65"/>
        <v> </v>
      </c>
    </row>
    <row r="45" spans="1:40" ht="12.75">
      <c r="A45" s="309">
        <f>'liste améliorations'!A77</f>
        <v>13</v>
      </c>
      <c r="C45" s="71" t="str">
        <f>'liste améliorations'!B77</f>
        <v>Arrêter la chaudière en été</v>
      </c>
      <c r="D45" s="443"/>
      <c r="E45" s="441" t="str">
        <f>'liste améliorations'!B78</f>
        <v>…2%...</v>
      </c>
      <c r="F45" s="293">
        <f>'liste améliorations'!C77</f>
        <v>1</v>
      </c>
      <c r="G45" s="294">
        <f>'liste améliorations'!D77</f>
        <v>3</v>
      </c>
      <c r="H45" s="407">
        <f>'liens Q R'!L149</f>
        <v>0</v>
      </c>
      <c r="I45" s="412">
        <f t="shared" si="60"/>
        <v>0</v>
      </c>
      <c r="K45" s="45">
        <f t="shared" si="61"/>
        <v>10</v>
      </c>
      <c r="L45" s="42">
        <f t="shared" si="66"/>
        <v>0</v>
      </c>
      <c r="M45" s="43">
        <f t="shared" si="67"/>
        <v>0</v>
      </c>
      <c r="N45" s="42">
        <f t="shared" si="68"/>
        <v>0</v>
      </c>
      <c r="O45" s="43">
        <f t="shared" si="69"/>
        <v>0</v>
      </c>
      <c r="P45" s="42">
        <f t="shared" si="70"/>
        <v>0</v>
      </c>
      <c r="Q45" s="43">
        <f t="shared" si="71"/>
        <v>0</v>
      </c>
      <c r="R45" s="42">
        <f t="shared" si="72"/>
        <v>0</v>
      </c>
      <c r="S45" s="43">
        <f t="shared" si="73"/>
        <v>0</v>
      </c>
      <c r="T45" s="42">
        <f t="shared" si="74"/>
        <v>0</v>
      </c>
      <c r="U45" s="43">
        <f t="shared" si="75"/>
        <v>0</v>
      </c>
      <c r="V45" s="42">
        <f t="shared" si="76"/>
        <v>0</v>
      </c>
      <c r="W45" s="43">
        <f t="shared" si="77"/>
        <v>0</v>
      </c>
      <c r="X45" s="42">
        <f t="shared" si="78"/>
        <v>0</v>
      </c>
      <c r="Y45" s="43">
        <f t="shared" si="79"/>
        <v>0</v>
      </c>
      <c r="Z45" s="42">
        <f t="shared" si="80"/>
        <v>0</v>
      </c>
      <c r="AA45" s="43">
        <f t="shared" si="81"/>
        <v>0</v>
      </c>
      <c r="AB45" s="42">
        <f t="shared" si="82"/>
        <v>0</v>
      </c>
      <c r="AC45" s="43">
        <f t="shared" si="83"/>
        <v>0</v>
      </c>
      <c r="AD45" s="42">
        <f t="shared" si="84"/>
        <v>0</v>
      </c>
      <c r="AE45" s="43">
        <f t="shared" si="85"/>
        <v>0</v>
      </c>
      <c r="AF45" s="42">
        <f t="shared" si="86"/>
        <v>0</v>
      </c>
      <c r="AG45" s="43">
        <f t="shared" si="87"/>
        <v>0</v>
      </c>
      <c r="AH45" s="42">
        <f t="shared" si="88"/>
        <v>10</v>
      </c>
      <c r="AI45" s="43">
        <f t="shared" si="89"/>
        <v>10</v>
      </c>
      <c r="AK45" s="291" t="str">
        <f t="shared" si="62"/>
        <v> </v>
      </c>
      <c r="AL45" s="292" t="str">
        <f t="shared" si="63"/>
        <v> </v>
      </c>
      <c r="AM45" s="36" t="str">
        <f t="shared" si="64"/>
        <v> </v>
      </c>
      <c r="AN45" s="65" t="str">
        <f t="shared" si="65"/>
        <v> </v>
      </c>
    </row>
    <row r="46" spans="1:40" ht="38.25">
      <c r="A46" s="309">
        <f>'liste améliorations'!A75</f>
        <v>12</v>
      </c>
      <c r="C46" s="71" t="str">
        <f>'liste améliorations'!B75</f>
        <v>Réguler l'aquastat pour qu'en été, en dehors des périodes de préparation de l'eau chaude sanitaire, la température de la chaudière retombe à 20°C</v>
      </c>
      <c r="D46" s="76"/>
      <c r="E46" s="441" t="str">
        <f>'liste améliorations'!B76</f>
        <v>…2%...</v>
      </c>
      <c r="F46" s="293">
        <f>'liste améliorations'!C75</f>
        <v>1</v>
      </c>
      <c r="G46" s="294">
        <f>'liste améliorations'!D75</f>
        <v>3</v>
      </c>
      <c r="H46" s="407">
        <f>'liens Q R'!L150</f>
        <v>0</v>
      </c>
      <c r="I46" s="412">
        <f t="shared" si="60"/>
        <v>0</v>
      </c>
      <c r="K46" s="45">
        <f t="shared" si="61"/>
        <v>11</v>
      </c>
      <c r="L46" s="42">
        <f t="shared" si="66"/>
        <v>0</v>
      </c>
      <c r="M46" s="43">
        <f t="shared" si="67"/>
        <v>0</v>
      </c>
      <c r="N46" s="42">
        <f t="shared" si="68"/>
        <v>0</v>
      </c>
      <c r="O46" s="43">
        <f t="shared" si="69"/>
        <v>0</v>
      </c>
      <c r="P46" s="42">
        <f t="shared" si="70"/>
        <v>0</v>
      </c>
      <c r="Q46" s="43">
        <f t="shared" si="71"/>
        <v>0</v>
      </c>
      <c r="R46" s="42">
        <f t="shared" si="72"/>
        <v>0</v>
      </c>
      <c r="S46" s="43">
        <f t="shared" si="73"/>
        <v>0</v>
      </c>
      <c r="T46" s="42">
        <f t="shared" si="74"/>
        <v>0</v>
      </c>
      <c r="U46" s="43">
        <f t="shared" si="75"/>
        <v>0</v>
      </c>
      <c r="V46" s="42">
        <f t="shared" si="76"/>
        <v>0</v>
      </c>
      <c r="W46" s="43">
        <f t="shared" si="77"/>
        <v>0</v>
      </c>
      <c r="X46" s="42">
        <f t="shared" si="78"/>
        <v>0</v>
      </c>
      <c r="Y46" s="43">
        <f t="shared" si="79"/>
        <v>0</v>
      </c>
      <c r="Z46" s="42">
        <f t="shared" si="80"/>
        <v>0</v>
      </c>
      <c r="AA46" s="43">
        <f t="shared" si="81"/>
        <v>0</v>
      </c>
      <c r="AB46" s="42">
        <f t="shared" si="82"/>
        <v>0</v>
      </c>
      <c r="AC46" s="43">
        <f t="shared" si="83"/>
        <v>0</v>
      </c>
      <c r="AD46" s="42">
        <f t="shared" si="84"/>
        <v>0</v>
      </c>
      <c r="AE46" s="43">
        <f t="shared" si="85"/>
        <v>0</v>
      </c>
      <c r="AF46" s="42">
        <f t="shared" si="86"/>
        <v>0</v>
      </c>
      <c r="AG46" s="43">
        <f t="shared" si="87"/>
        <v>0</v>
      </c>
      <c r="AH46" s="42">
        <f t="shared" si="88"/>
        <v>11</v>
      </c>
      <c r="AI46" s="43">
        <f t="shared" si="89"/>
        <v>11</v>
      </c>
      <c r="AK46" s="291" t="str">
        <f t="shared" si="62"/>
        <v> </v>
      </c>
      <c r="AL46" s="292" t="str">
        <f t="shared" si="63"/>
        <v> </v>
      </c>
      <c r="AM46" s="36" t="str">
        <f t="shared" si="64"/>
        <v> </v>
      </c>
      <c r="AN46" s="65" t="str">
        <f t="shared" si="65"/>
        <v> </v>
      </c>
    </row>
    <row r="47" spans="1:40" ht="12.75">
      <c r="A47" s="309">
        <f>'liste améliorations'!A63</f>
        <v>6</v>
      </c>
      <c r="C47" s="71" t="str">
        <f>'liste améliorations'!B63</f>
        <v>Placer un thermostat d'ambiance de compensation</v>
      </c>
      <c r="D47" s="443"/>
      <c r="E47" s="441" t="str">
        <f>'liste améliorations'!B64</f>
        <v>1°C de trop…7 à 8% de surconsommation</v>
      </c>
      <c r="F47" s="293">
        <f>'liste améliorations'!C63</f>
        <v>2</v>
      </c>
      <c r="G47" s="294">
        <f>'liste améliorations'!D63</f>
        <v>3</v>
      </c>
      <c r="H47" s="407">
        <f>'liens Q R'!L157</f>
        <v>0</v>
      </c>
      <c r="I47" s="412">
        <f t="shared" si="60"/>
        <v>0</v>
      </c>
      <c r="K47" s="45">
        <f t="shared" si="61"/>
        <v>12</v>
      </c>
      <c r="L47" s="42">
        <f t="shared" si="66"/>
        <v>0</v>
      </c>
      <c r="M47" s="43">
        <f t="shared" si="67"/>
        <v>0</v>
      </c>
      <c r="N47" s="42">
        <f t="shared" si="68"/>
        <v>0</v>
      </c>
      <c r="O47" s="43">
        <f t="shared" si="69"/>
        <v>0</v>
      </c>
      <c r="P47" s="42">
        <f t="shared" si="70"/>
        <v>0</v>
      </c>
      <c r="Q47" s="43">
        <f t="shared" si="71"/>
        <v>0</v>
      </c>
      <c r="R47" s="42">
        <f t="shared" si="72"/>
        <v>0</v>
      </c>
      <c r="S47" s="43">
        <f t="shared" si="73"/>
        <v>0</v>
      </c>
      <c r="T47" s="42">
        <f t="shared" si="74"/>
        <v>0</v>
      </c>
      <c r="U47" s="43">
        <f t="shared" si="75"/>
        <v>0</v>
      </c>
      <c r="V47" s="42">
        <f t="shared" si="76"/>
        <v>0</v>
      </c>
      <c r="W47" s="43">
        <f t="shared" si="77"/>
        <v>0</v>
      </c>
      <c r="X47" s="42">
        <f t="shared" si="78"/>
        <v>0</v>
      </c>
      <c r="Y47" s="43">
        <f t="shared" si="79"/>
        <v>0</v>
      </c>
      <c r="Z47" s="42">
        <f t="shared" si="80"/>
        <v>0</v>
      </c>
      <c r="AA47" s="43">
        <f t="shared" si="81"/>
        <v>0</v>
      </c>
      <c r="AB47" s="42">
        <f t="shared" si="82"/>
        <v>0</v>
      </c>
      <c r="AC47" s="43">
        <f t="shared" si="83"/>
        <v>0</v>
      </c>
      <c r="AD47" s="42">
        <f t="shared" si="84"/>
        <v>0</v>
      </c>
      <c r="AE47" s="43">
        <f t="shared" si="85"/>
        <v>0</v>
      </c>
      <c r="AF47" s="42">
        <f t="shared" si="86"/>
        <v>0</v>
      </c>
      <c r="AG47" s="43">
        <f t="shared" si="87"/>
        <v>0</v>
      </c>
      <c r="AH47" s="42">
        <f t="shared" si="88"/>
        <v>12</v>
      </c>
      <c r="AI47" s="43">
        <f t="shared" si="89"/>
        <v>12</v>
      </c>
      <c r="AK47" s="291" t="str">
        <f t="shared" si="62"/>
        <v> </v>
      </c>
      <c r="AL47" s="292" t="str">
        <f t="shared" si="63"/>
        <v> </v>
      </c>
      <c r="AM47" s="36" t="str">
        <f t="shared" si="64"/>
        <v> </v>
      </c>
      <c r="AN47" s="65" t="str">
        <f t="shared" si="65"/>
        <v> </v>
      </c>
    </row>
    <row r="48" spans="1:40" ht="12.75">
      <c r="A48" s="309">
        <f>+'liste améliorations'!A69</f>
        <v>9</v>
      </c>
      <c r="C48" s="71" t="str">
        <f>+'liste améliorations'!B69</f>
        <v>Corriger le réglage des courbes de chauffe </v>
      </c>
      <c r="D48" s="443"/>
      <c r="E48" s="441" t="str">
        <f>'liste améliorations'!B70</f>
        <v>1°C de trop…7 à 8% de surconsommation</v>
      </c>
      <c r="F48" s="293">
        <f>'liste améliorations'!C69</f>
        <v>2</v>
      </c>
      <c r="G48" s="294">
        <f>'liste améliorations'!D69</f>
        <v>3</v>
      </c>
      <c r="H48" s="407">
        <f>'liens Q R'!L157</f>
        <v>0</v>
      </c>
      <c r="I48" s="412">
        <f t="shared" si="60"/>
        <v>0</v>
      </c>
      <c r="K48" s="45">
        <f t="shared" si="61"/>
        <v>13</v>
      </c>
      <c r="L48" s="42">
        <f t="shared" si="66"/>
        <v>0</v>
      </c>
      <c r="M48" s="43">
        <f t="shared" si="67"/>
        <v>0</v>
      </c>
      <c r="N48" s="42">
        <f t="shared" si="68"/>
        <v>0</v>
      </c>
      <c r="O48" s="43">
        <f t="shared" si="69"/>
        <v>0</v>
      </c>
      <c r="P48" s="42">
        <f t="shared" si="70"/>
        <v>0</v>
      </c>
      <c r="Q48" s="43">
        <f t="shared" si="71"/>
        <v>0</v>
      </c>
      <c r="R48" s="42">
        <f t="shared" si="72"/>
        <v>0</v>
      </c>
      <c r="S48" s="43">
        <f t="shared" si="73"/>
        <v>0</v>
      </c>
      <c r="T48" s="42">
        <f t="shared" si="74"/>
        <v>0</v>
      </c>
      <c r="U48" s="43">
        <f t="shared" si="75"/>
        <v>0</v>
      </c>
      <c r="V48" s="42">
        <f t="shared" si="76"/>
        <v>0</v>
      </c>
      <c r="W48" s="43">
        <f t="shared" si="77"/>
        <v>0</v>
      </c>
      <c r="X48" s="42">
        <f t="shared" si="78"/>
        <v>0</v>
      </c>
      <c r="Y48" s="43">
        <f t="shared" si="79"/>
        <v>0</v>
      </c>
      <c r="Z48" s="42">
        <f t="shared" si="80"/>
        <v>0</v>
      </c>
      <c r="AA48" s="43">
        <f t="shared" si="81"/>
        <v>0</v>
      </c>
      <c r="AB48" s="42">
        <f t="shared" si="82"/>
        <v>0</v>
      </c>
      <c r="AC48" s="43">
        <f t="shared" si="83"/>
        <v>0</v>
      </c>
      <c r="AD48" s="42">
        <f t="shared" si="84"/>
        <v>0</v>
      </c>
      <c r="AE48" s="43">
        <f t="shared" si="85"/>
        <v>0</v>
      </c>
      <c r="AF48" s="42">
        <f t="shared" si="86"/>
        <v>0</v>
      </c>
      <c r="AG48" s="43">
        <f t="shared" si="87"/>
        <v>0</v>
      </c>
      <c r="AH48" s="42">
        <f t="shared" si="88"/>
        <v>13</v>
      </c>
      <c r="AI48" s="43">
        <f t="shared" si="89"/>
        <v>13</v>
      </c>
      <c r="AK48" s="291" t="str">
        <f t="shared" si="62"/>
        <v> </v>
      </c>
      <c r="AL48" s="292" t="str">
        <f t="shared" si="63"/>
        <v> </v>
      </c>
      <c r="AM48" s="36" t="str">
        <f t="shared" si="64"/>
        <v> </v>
      </c>
      <c r="AN48" s="65" t="str">
        <f t="shared" si="65"/>
        <v> </v>
      </c>
    </row>
    <row r="49" spans="1:40" ht="25.5">
      <c r="A49" s="309">
        <f>'liste améliorations'!A71</f>
        <v>10</v>
      </c>
      <c r="C49" s="71" t="str">
        <f>'liste améliorations'!B71</f>
        <v>Placer des vannes thermostatiques dans les locaux où il y a surchauffe</v>
      </c>
      <c r="D49" s="443" t="s">
        <v>215</v>
      </c>
      <c r="E49" s="441" t="str">
        <f>'liste améliorations'!B72</f>
        <v>1°C de trop…7 à 8% de surconsommation</v>
      </c>
      <c r="F49" s="293">
        <f>'liste améliorations'!C71</f>
        <v>2</v>
      </c>
      <c r="G49" s="294">
        <f>'liste améliorations'!D71</f>
        <v>2</v>
      </c>
      <c r="H49" s="407">
        <f>IF(OR('liens Q R'!K157=2,'liens Q R'!K166=2),MAX('liens Q R'!L157,'liens Q R'!L166),IF(OR('liens Q R'!K157=3,'liens Q R'!K166=3),0.05,0))</f>
        <v>0</v>
      </c>
      <c r="I49" s="412">
        <f t="shared" si="60"/>
        <v>0</v>
      </c>
      <c r="K49" s="45">
        <f t="shared" si="61"/>
        <v>14</v>
      </c>
      <c r="L49" s="42">
        <f t="shared" si="66"/>
        <v>0</v>
      </c>
      <c r="M49" s="43">
        <f t="shared" si="67"/>
        <v>0</v>
      </c>
      <c r="N49" s="42">
        <f t="shared" si="68"/>
        <v>0</v>
      </c>
      <c r="O49" s="43">
        <f t="shared" si="69"/>
        <v>0</v>
      </c>
      <c r="P49" s="42">
        <f t="shared" si="70"/>
        <v>0</v>
      </c>
      <c r="Q49" s="43">
        <f t="shared" si="71"/>
        <v>0</v>
      </c>
      <c r="R49" s="42">
        <f t="shared" si="72"/>
        <v>0</v>
      </c>
      <c r="S49" s="43">
        <f t="shared" si="73"/>
        <v>0</v>
      </c>
      <c r="T49" s="42">
        <f t="shared" si="74"/>
        <v>0</v>
      </c>
      <c r="U49" s="43">
        <f t="shared" si="75"/>
        <v>0</v>
      </c>
      <c r="V49" s="42">
        <f t="shared" si="76"/>
        <v>0</v>
      </c>
      <c r="W49" s="43">
        <f t="shared" si="77"/>
        <v>0</v>
      </c>
      <c r="X49" s="42">
        <f t="shared" si="78"/>
        <v>0</v>
      </c>
      <c r="Y49" s="43">
        <f t="shared" si="79"/>
        <v>0</v>
      </c>
      <c r="Z49" s="42">
        <f t="shared" si="80"/>
        <v>0</v>
      </c>
      <c r="AA49" s="43">
        <f t="shared" si="81"/>
        <v>0</v>
      </c>
      <c r="AB49" s="42">
        <f t="shared" si="82"/>
        <v>0</v>
      </c>
      <c r="AC49" s="43">
        <f t="shared" si="83"/>
        <v>0</v>
      </c>
      <c r="AD49" s="42">
        <f t="shared" si="84"/>
        <v>0</v>
      </c>
      <c r="AE49" s="43">
        <f t="shared" si="85"/>
        <v>0</v>
      </c>
      <c r="AF49" s="42">
        <f t="shared" si="86"/>
        <v>0</v>
      </c>
      <c r="AG49" s="43">
        <f t="shared" si="87"/>
        <v>0</v>
      </c>
      <c r="AH49" s="42">
        <f t="shared" si="88"/>
        <v>14</v>
      </c>
      <c r="AI49" s="43">
        <f t="shared" si="89"/>
        <v>14</v>
      </c>
      <c r="AK49" s="291" t="str">
        <f t="shared" si="62"/>
        <v> </v>
      </c>
      <c r="AL49" s="292" t="str">
        <f t="shared" si="63"/>
        <v> </v>
      </c>
      <c r="AM49" s="36" t="str">
        <f t="shared" si="64"/>
        <v> </v>
      </c>
      <c r="AN49" s="65" t="str">
        <f t="shared" si="65"/>
        <v> </v>
      </c>
    </row>
    <row r="50" spans="1:40" ht="12.75">
      <c r="A50" s="309">
        <f>'liste améliorations'!A73</f>
        <v>11</v>
      </c>
      <c r="C50" s="71" t="str">
        <f>'liste améliorations'!B73</f>
        <v>Contrôler les brûleurs plusieurs fois par an</v>
      </c>
      <c r="D50" s="76"/>
      <c r="E50" s="440" t="str">
        <f>'liste améliorations'!B74</f>
        <v>  </v>
      </c>
      <c r="F50" s="293">
        <f>'liste améliorations'!C73</f>
        <v>1</v>
      </c>
      <c r="G50" s="294">
        <f>'liste améliorations'!D73</f>
        <v>3</v>
      </c>
      <c r="H50" s="409">
        <f>'liens Q R'!L172</f>
        <v>0</v>
      </c>
      <c r="I50" s="412">
        <f t="shared" si="60"/>
        <v>0</v>
      </c>
      <c r="K50" s="45">
        <f t="shared" si="61"/>
        <v>15</v>
      </c>
      <c r="L50" s="42">
        <f t="shared" si="66"/>
        <v>0</v>
      </c>
      <c r="M50" s="43">
        <f t="shared" si="67"/>
        <v>0</v>
      </c>
      <c r="N50" s="42">
        <f t="shared" si="68"/>
        <v>0</v>
      </c>
      <c r="O50" s="43">
        <f t="shared" si="69"/>
        <v>0</v>
      </c>
      <c r="P50" s="42">
        <f t="shared" si="70"/>
        <v>0</v>
      </c>
      <c r="Q50" s="43">
        <f t="shared" si="71"/>
        <v>0</v>
      </c>
      <c r="R50" s="42">
        <f t="shared" si="72"/>
        <v>0</v>
      </c>
      <c r="S50" s="43">
        <f t="shared" si="73"/>
        <v>0</v>
      </c>
      <c r="T50" s="42">
        <f t="shared" si="74"/>
        <v>0</v>
      </c>
      <c r="U50" s="43">
        <f t="shared" si="75"/>
        <v>0</v>
      </c>
      <c r="V50" s="42">
        <f t="shared" si="76"/>
        <v>0</v>
      </c>
      <c r="W50" s="43">
        <f t="shared" si="77"/>
        <v>0</v>
      </c>
      <c r="X50" s="42">
        <f t="shared" si="78"/>
        <v>0</v>
      </c>
      <c r="Y50" s="43">
        <f t="shared" si="79"/>
        <v>0</v>
      </c>
      <c r="Z50" s="42">
        <f t="shared" si="80"/>
        <v>0</v>
      </c>
      <c r="AA50" s="43">
        <f t="shared" si="81"/>
        <v>0</v>
      </c>
      <c r="AB50" s="42">
        <f t="shared" si="82"/>
        <v>0</v>
      </c>
      <c r="AC50" s="43">
        <f t="shared" si="83"/>
        <v>0</v>
      </c>
      <c r="AD50" s="42">
        <f t="shared" si="84"/>
        <v>0</v>
      </c>
      <c r="AE50" s="43">
        <f t="shared" si="85"/>
        <v>0</v>
      </c>
      <c r="AF50" s="42">
        <f t="shared" si="86"/>
        <v>0</v>
      </c>
      <c r="AG50" s="43">
        <f t="shared" si="87"/>
        <v>0</v>
      </c>
      <c r="AH50" s="42">
        <f t="shared" si="88"/>
        <v>15</v>
      </c>
      <c r="AI50" s="43">
        <f t="shared" si="89"/>
        <v>15</v>
      </c>
      <c r="AK50" s="291" t="str">
        <f t="shared" si="62"/>
        <v> </v>
      </c>
      <c r="AL50" s="292" t="str">
        <f t="shared" si="63"/>
        <v> </v>
      </c>
      <c r="AM50" s="36" t="str">
        <f t="shared" si="64"/>
        <v> </v>
      </c>
      <c r="AN50" s="65" t="str">
        <f t="shared" si="65"/>
        <v> </v>
      </c>
    </row>
    <row r="51" spans="1:40" ht="12.75">
      <c r="A51" s="309">
        <f>'liste améliorations'!A85</f>
        <v>17</v>
      </c>
      <c r="B51" s="177"/>
      <c r="C51" s="71" t="str">
        <f>'liste améliorations'!B85</f>
        <v>Chercher la cause de l'insuffisance d'eau, l'origine de la fuite</v>
      </c>
      <c r="D51" s="445"/>
      <c r="E51" s="440" t="str">
        <f>'liste améliorations'!B86</f>
        <v>Evite l'ajout d'eau trop fréquent dans la chaudière, entraînant une détérioration par corrosion de l'installation et une surconsommation due à l'entartrage  </v>
      </c>
      <c r="F51" s="293" t="str">
        <f>'liste améliorations'!C85</f>
        <v>-</v>
      </c>
      <c r="G51" s="294">
        <f>'liste améliorations'!D85</f>
        <v>3</v>
      </c>
      <c r="H51" s="407">
        <f>'liens Q R'!L177</f>
        <v>0</v>
      </c>
      <c r="I51" s="416">
        <f>1*G51*H51</f>
        <v>0</v>
      </c>
      <c r="K51" s="45">
        <f t="shared" si="61"/>
        <v>16</v>
      </c>
      <c r="L51" s="42">
        <f t="shared" si="66"/>
        <v>0</v>
      </c>
      <c r="M51" s="43">
        <f t="shared" si="67"/>
        <v>0</v>
      </c>
      <c r="N51" s="42">
        <f t="shared" si="68"/>
        <v>0</v>
      </c>
      <c r="O51" s="43">
        <f t="shared" si="69"/>
        <v>0</v>
      </c>
      <c r="P51" s="42">
        <f t="shared" si="70"/>
        <v>0</v>
      </c>
      <c r="Q51" s="43">
        <f t="shared" si="71"/>
        <v>0</v>
      </c>
      <c r="R51" s="42">
        <f t="shared" si="72"/>
        <v>0</v>
      </c>
      <c r="S51" s="43">
        <f t="shared" si="73"/>
        <v>0</v>
      </c>
      <c r="T51" s="42">
        <f t="shared" si="74"/>
        <v>0</v>
      </c>
      <c r="U51" s="43">
        <f t="shared" si="75"/>
        <v>0</v>
      </c>
      <c r="V51" s="42">
        <f t="shared" si="76"/>
        <v>0</v>
      </c>
      <c r="W51" s="43">
        <f t="shared" si="77"/>
        <v>0</v>
      </c>
      <c r="X51" s="42">
        <f t="shared" si="78"/>
        <v>0</v>
      </c>
      <c r="Y51" s="43">
        <f t="shared" si="79"/>
        <v>0</v>
      </c>
      <c r="Z51" s="42">
        <f t="shared" si="80"/>
        <v>0</v>
      </c>
      <c r="AA51" s="43">
        <f t="shared" si="81"/>
        <v>0</v>
      </c>
      <c r="AB51" s="42">
        <f t="shared" si="82"/>
        <v>0</v>
      </c>
      <c r="AC51" s="43">
        <f t="shared" si="83"/>
        <v>0</v>
      </c>
      <c r="AD51" s="42">
        <f t="shared" si="84"/>
        <v>0</v>
      </c>
      <c r="AE51" s="43">
        <f t="shared" si="85"/>
        <v>0</v>
      </c>
      <c r="AF51" s="42">
        <f t="shared" si="86"/>
        <v>0</v>
      </c>
      <c r="AG51" s="43">
        <f t="shared" si="87"/>
        <v>0</v>
      </c>
      <c r="AH51" s="42">
        <f t="shared" si="88"/>
        <v>16</v>
      </c>
      <c r="AI51" s="43">
        <f t="shared" si="89"/>
        <v>16</v>
      </c>
      <c r="AK51" s="291" t="str">
        <f t="shared" si="62"/>
        <v> </v>
      </c>
      <c r="AL51" s="292" t="str">
        <f t="shared" si="63"/>
        <v> </v>
      </c>
      <c r="AM51" s="36" t="str">
        <f t="shared" si="64"/>
        <v> </v>
      </c>
      <c r="AN51" s="65" t="str">
        <f t="shared" si="65"/>
        <v> </v>
      </c>
    </row>
    <row r="52" spans="1:40" ht="12.75">
      <c r="A52" s="309">
        <f>'liste améliorations'!A83</f>
        <v>16</v>
      </c>
      <c r="C52" s="71" t="str">
        <f>'liste améliorations'!B83</f>
        <v>Remplacer le vase d'expansion</v>
      </c>
      <c r="D52" s="443"/>
      <c r="E52" s="441" t="str">
        <f>'liste améliorations'!B84</f>
        <v>Evite un manque d'eau entraînant un mauvais fonctionnement, ou un ajout d'eau trop fréquent</v>
      </c>
      <c r="F52" s="293" t="str">
        <f>'liste améliorations'!C83</f>
        <v>-</v>
      </c>
      <c r="G52" s="297">
        <f>'liste améliorations'!D83</f>
        <v>3</v>
      </c>
      <c r="H52" s="407">
        <f>'liens Q R'!L181</f>
        <v>0</v>
      </c>
      <c r="I52" s="412">
        <f>1*G52*H52</f>
        <v>0</v>
      </c>
      <c r="K52" s="45">
        <f t="shared" si="61"/>
        <v>17</v>
      </c>
      <c r="L52" s="42">
        <f t="shared" si="66"/>
        <v>0</v>
      </c>
      <c r="M52" s="43">
        <f t="shared" si="67"/>
        <v>0</v>
      </c>
      <c r="N52" s="42">
        <f t="shared" si="68"/>
        <v>0</v>
      </c>
      <c r="O52" s="43">
        <f t="shared" si="69"/>
        <v>0</v>
      </c>
      <c r="P52" s="42">
        <f t="shared" si="70"/>
        <v>0</v>
      </c>
      <c r="Q52" s="43">
        <f t="shared" si="71"/>
        <v>0</v>
      </c>
      <c r="R52" s="42">
        <f t="shared" si="72"/>
        <v>0</v>
      </c>
      <c r="S52" s="43">
        <f t="shared" si="73"/>
        <v>0</v>
      </c>
      <c r="T52" s="42">
        <f t="shared" si="74"/>
        <v>0</v>
      </c>
      <c r="U52" s="43">
        <f t="shared" si="75"/>
        <v>0</v>
      </c>
      <c r="V52" s="42">
        <f t="shared" si="76"/>
        <v>0</v>
      </c>
      <c r="W52" s="43">
        <f t="shared" si="77"/>
        <v>0</v>
      </c>
      <c r="X52" s="42">
        <f t="shared" si="78"/>
        <v>0</v>
      </c>
      <c r="Y52" s="43">
        <f t="shared" si="79"/>
        <v>0</v>
      </c>
      <c r="Z52" s="42">
        <f t="shared" si="80"/>
        <v>0</v>
      </c>
      <c r="AA52" s="43">
        <f t="shared" si="81"/>
        <v>0</v>
      </c>
      <c r="AB52" s="42">
        <f t="shared" si="82"/>
        <v>0</v>
      </c>
      <c r="AC52" s="43">
        <f t="shared" si="83"/>
        <v>0</v>
      </c>
      <c r="AD52" s="42">
        <f t="shared" si="84"/>
        <v>0</v>
      </c>
      <c r="AE52" s="43">
        <f t="shared" si="85"/>
        <v>0</v>
      </c>
      <c r="AF52" s="42">
        <f t="shared" si="86"/>
        <v>0</v>
      </c>
      <c r="AG52" s="43">
        <f t="shared" si="87"/>
        <v>0</v>
      </c>
      <c r="AH52" s="42">
        <f t="shared" si="88"/>
        <v>17</v>
      </c>
      <c r="AI52" s="43">
        <f t="shared" si="89"/>
        <v>17</v>
      </c>
      <c r="AK52" s="291" t="str">
        <f t="shared" si="62"/>
        <v> </v>
      </c>
      <c r="AL52" s="292" t="str">
        <f t="shared" si="63"/>
        <v> </v>
      </c>
      <c r="AM52" s="36" t="str">
        <f t="shared" si="64"/>
        <v> </v>
      </c>
      <c r="AN52" s="65" t="str">
        <f t="shared" si="65"/>
        <v> </v>
      </c>
    </row>
    <row r="53" spans="1:4" ht="12.75">
      <c r="A53" s="72"/>
      <c r="C53" s="64"/>
      <c r="D53" s="64"/>
    </row>
    <row r="54" spans="3:4" ht="12.75">
      <c r="C54" s="64"/>
      <c r="D54" s="64"/>
    </row>
    <row r="55" spans="3:4" ht="12.75">
      <c r="C55" s="64"/>
      <c r="D55" s="64"/>
    </row>
    <row r="56" spans="3:4" ht="12.75">
      <c r="C56" s="64"/>
      <c r="D56" s="64"/>
    </row>
    <row r="57" spans="3:4" ht="12.75">
      <c r="C57" s="64"/>
      <c r="D57" s="64"/>
    </row>
    <row r="58" spans="3:4" ht="12.75">
      <c r="C58" s="64"/>
      <c r="D58" s="64"/>
    </row>
    <row r="59" spans="3:4" ht="12.75">
      <c r="C59" s="64"/>
      <c r="D59" s="64"/>
    </row>
    <row r="60" spans="3:4" ht="12.75">
      <c r="C60" s="64"/>
      <c r="D60" s="64"/>
    </row>
    <row r="61" spans="3:4" ht="12.75">
      <c r="C61" s="64"/>
      <c r="D61" s="64"/>
    </row>
    <row r="62" spans="3:4" ht="12.75">
      <c r="C62" s="64"/>
      <c r="D62" s="64"/>
    </row>
    <row r="63" spans="3:4" ht="12.75">
      <c r="C63" s="64"/>
      <c r="D63" s="64"/>
    </row>
    <row r="64" spans="3:4" ht="12.75">
      <c r="C64" s="64"/>
      <c r="D64" s="64"/>
    </row>
    <row r="65" spans="3:4" ht="12.75">
      <c r="C65" s="64"/>
      <c r="D65" s="64"/>
    </row>
    <row r="66" spans="3:4" ht="12.75">
      <c r="C66" s="64"/>
      <c r="D66" s="64"/>
    </row>
    <row r="67" spans="3:4" ht="12.75">
      <c r="C67" s="64"/>
      <c r="D67" s="64"/>
    </row>
    <row r="68" spans="3:4" ht="12.75">
      <c r="C68" s="64"/>
      <c r="D68" s="64"/>
    </row>
    <row r="69" spans="3:4" ht="12.75">
      <c r="C69" s="64"/>
      <c r="D69" s="64"/>
    </row>
    <row r="70" spans="3:4" ht="12.75">
      <c r="C70" s="64"/>
      <c r="D70" s="64"/>
    </row>
    <row r="71" spans="3:4" ht="12.75">
      <c r="C71" s="64"/>
      <c r="D71" s="64"/>
    </row>
    <row r="72" spans="3:4" ht="12.75">
      <c r="C72" s="64"/>
      <c r="D72" s="64"/>
    </row>
    <row r="73" spans="3:4" ht="12.75">
      <c r="C73" s="64"/>
      <c r="D73" s="64"/>
    </row>
    <row r="74" spans="3:4" ht="12.75">
      <c r="C74" s="64"/>
      <c r="D74" s="64"/>
    </row>
    <row r="75" spans="3:4" ht="12.75">
      <c r="C75" s="64"/>
      <c r="D75" s="64"/>
    </row>
    <row r="76" spans="3:4" ht="12.75">
      <c r="C76" s="64"/>
      <c r="D76" s="64"/>
    </row>
    <row r="77" spans="3:4" ht="12.75">
      <c r="C77" s="64"/>
      <c r="D77" s="64"/>
    </row>
    <row r="78" spans="3:4" ht="12.75">
      <c r="C78" s="64"/>
      <c r="D78" s="64"/>
    </row>
    <row r="79" spans="3:4" ht="12.75">
      <c r="C79" s="64"/>
      <c r="D79" s="64"/>
    </row>
    <row r="80" spans="3:4" ht="12.75">
      <c r="C80" s="64"/>
      <c r="D80" s="64"/>
    </row>
    <row r="81" spans="3:4" ht="12.75">
      <c r="C81" s="64"/>
      <c r="D81" s="64"/>
    </row>
    <row r="82" spans="3:4" ht="12.75">
      <c r="C82" s="64"/>
      <c r="D82" s="64"/>
    </row>
    <row r="83" spans="3:4" ht="12.75">
      <c r="C83" s="64"/>
      <c r="D83" s="64"/>
    </row>
    <row r="84" spans="3:4" ht="12.75">
      <c r="C84" s="64"/>
      <c r="D84" s="64"/>
    </row>
    <row r="85" spans="3:4" ht="12.75">
      <c r="C85" s="64"/>
      <c r="D85" s="64"/>
    </row>
    <row r="86" spans="3:4" ht="12.75">
      <c r="C86" s="64"/>
      <c r="D86" s="64"/>
    </row>
    <row r="87" spans="3:4" ht="12.75">
      <c r="C87" s="64"/>
      <c r="D87" s="64"/>
    </row>
    <row r="88" spans="3:4" ht="12.75">
      <c r="C88" s="64"/>
      <c r="D88" s="64"/>
    </row>
    <row r="89" spans="3:4" ht="12.75">
      <c r="C89" s="64"/>
      <c r="D89" s="64"/>
    </row>
    <row r="90" spans="3:4" ht="12.75">
      <c r="C90" s="64"/>
      <c r="D90" s="64"/>
    </row>
    <row r="91" spans="3:4" ht="12.75">
      <c r="C91" s="64"/>
      <c r="D91" s="64"/>
    </row>
    <row r="92" spans="3:4" ht="12.75">
      <c r="C92" s="64"/>
      <c r="D92" s="64"/>
    </row>
    <row r="93" spans="3:4" ht="12.75">
      <c r="C93" s="64"/>
      <c r="D93" s="64"/>
    </row>
    <row r="94" spans="3:4" ht="12.75">
      <c r="C94" s="64"/>
      <c r="D94" s="64"/>
    </row>
    <row r="95" spans="3:4" ht="12.75">
      <c r="C95" s="64"/>
      <c r="D95" s="64"/>
    </row>
    <row r="96" spans="3:4" ht="12.75">
      <c r="C96" s="64"/>
      <c r="D96" s="64"/>
    </row>
    <row r="97" spans="3:4" ht="12.75">
      <c r="C97" s="64"/>
      <c r="D97" s="64"/>
    </row>
    <row r="98" spans="3:4" ht="12.75">
      <c r="C98" s="64"/>
      <c r="D98" s="64"/>
    </row>
    <row r="99" spans="3:4" ht="12.75">
      <c r="C99" s="64"/>
      <c r="D99" s="64"/>
    </row>
    <row r="100" spans="3:4" ht="12.75">
      <c r="C100" s="64"/>
      <c r="D100" s="64"/>
    </row>
    <row r="101" spans="3:4" ht="12.75">
      <c r="C101" s="64"/>
      <c r="D101" s="64"/>
    </row>
    <row r="102" spans="3:4" ht="12.75">
      <c r="C102" s="64"/>
      <c r="D102" s="64"/>
    </row>
    <row r="103" spans="3:4" ht="12.75">
      <c r="C103" s="64"/>
      <c r="D103" s="64"/>
    </row>
    <row r="104" spans="3:4" ht="12.75">
      <c r="C104" s="64"/>
      <c r="D104" s="64"/>
    </row>
    <row r="105" spans="3:4" ht="12.75">
      <c r="C105" s="64"/>
      <c r="D105" s="64"/>
    </row>
    <row r="106" spans="3:4" ht="12.75">
      <c r="C106" s="64"/>
      <c r="D106" s="64"/>
    </row>
    <row r="107" spans="3:4" ht="12.75">
      <c r="C107" s="64"/>
      <c r="D107" s="64"/>
    </row>
    <row r="108" spans="3:4" ht="12.75">
      <c r="C108" s="64"/>
      <c r="D108" s="64"/>
    </row>
    <row r="109" spans="3:4" ht="12.75">
      <c r="C109" s="64"/>
      <c r="D109" s="64"/>
    </row>
    <row r="110" spans="3:4" ht="12.75">
      <c r="C110" s="64"/>
      <c r="D110" s="64"/>
    </row>
    <row r="111" spans="3:4" ht="12.75">
      <c r="C111" s="64"/>
      <c r="D111" s="64"/>
    </row>
    <row r="112" spans="3:4" ht="12.75">
      <c r="C112" s="64"/>
      <c r="D112" s="64"/>
    </row>
    <row r="113" spans="3:4" ht="12.75">
      <c r="C113" s="64"/>
      <c r="D113" s="64"/>
    </row>
    <row r="114" spans="3:4" ht="12.75">
      <c r="C114" s="64"/>
      <c r="D114" s="64"/>
    </row>
    <row r="115" spans="3:4" ht="12.75">
      <c r="C115" s="64"/>
      <c r="D115" s="64"/>
    </row>
    <row r="116" spans="3:4" ht="12.75">
      <c r="C116" s="64"/>
      <c r="D116" s="64"/>
    </row>
    <row r="117" spans="3:4" ht="12.75">
      <c r="C117" s="64"/>
      <c r="D117" s="64"/>
    </row>
    <row r="118" spans="3:4" ht="12.75">
      <c r="C118" s="64"/>
      <c r="D118" s="64"/>
    </row>
    <row r="119" spans="3:4" ht="12.75">
      <c r="C119" s="64"/>
      <c r="D119" s="64"/>
    </row>
    <row r="120" spans="3:4" ht="12.75">
      <c r="C120" s="64"/>
      <c r="D120" s="64"/>
    </row>
    <row r="121" spans="3:4" ht="12.75">
      <c r="C121" s="64"/>
      <c r="D121" s="64"/>
    </row>
    <row r="122" spans="3:4" ht="12.75">
      <c r="C122" s="64"/>
      <c r="D122" s="64"/>
    </row>
    <row r="123" spans="3:4" ht="12.75">
      <c r="C123" s="64"/>
      <c r="D123" s="64"/>
    </row>
    <row r="124" spans="3:4" ht="12.75">
      <c r="C124" s="64"/>
      <c r="D124" s="64"/>
    </row>
    <row r="125" spans="3:4" ht="12.75">
      <c r="C125" s="64"/>
      <c r="D125" s="64"/>
    </row>
    <row r="126" spans="3:4" ht="12.75">
      <c r="C126" s="64"/>
      <c r="D126" s="64"/>
    </row>
    <row r="127" spans="3:4" ht="12.75">
      <c r="C127" s="64"/>
      <c r="D127" s="64"/>
    </row>
    <row r="128" spans="3:4" ht="12.75">
      <c r="C128" s="64"/>
      <c r="D128" s="64"/>
    </row>
    <row r="129" spans="3:4" ht="12.75">
      <c r="C129" s="64"/>
      <c r="D129" s="64"/>
    </row>
    <row r="130" spans="3:4" ht="12.75">
      <c r="C130" s="64"/>
      <c r="D130" s="64"/>
    </row>
    <row r="131" spans="3:4" ht="12.75">
      <c r="C131" s="64"/>
      <c r="D131" s="64"/>
    </row>
    <row r="132" spans="3:4" ht="12.75">
      <c r="C132" s="64"/>
      <c r="D132" s="64"/>
    </row>
    <row r="133" spans="3:4" ht="12.75">
      <c r="C133" s="64"/>
      <c r="D133" s="64"/>
    </row>
    <row r="134" spans="3:4" ht="12.75">
      <c r="C134" s="64"/>
      <c r="D134" s="64"/>
    </row>
    <row r="135" spans="3:4" ht="12.75">
      <c r="C135" s="64"/>
      <c r="D135" s="64"/>
    </row>
    <row r="136" spans="3:4" ht="12.75">
      <c r="C136" s="64"/>
      <c r="D136" s="64"/>
    </row>
    <row r="137" spans="3:4" ht="12.75">
      <c r="C137" s="64"/>
      <c r="D137" s="64"/>
    </row>
    <row r="138" spans="3:4" ht="12.75">
      <c r="C138" s="64"/>
      <c r="D138" s="64"/>
    </row>
    <row r="139" spans="3:4" ht="12.75">
      <c r="C139" s="64"/>
      <c r="D139" s="64"/>
    </row>
    <row r="140" spans="3:4" ht="12.75">
      <c r="C140" s="64"/>
      <c r="D140" s="64"/>
    </row>
    <row r="141" spans="3:4" ht="12.75">
      <c r="C141" s="64"/>
      <c r="D141" s="64"/>
    </row>
    <row r="142" spans="3:4" ht="12.75">
      <c r="C142" s="64"/>
      <c r="D142" s="64"/>
    </row>
    <row r="143" spans="3:4" ht="12.75">
      <c r="C143" s="64"/>
      <c r="D143" s="64"/>
    </row>
    <row r="144" spans="3:4" ht="12.75">
      <c r="C144" s="64"/>
      <c r="D144" s="64"/>
    </row>
    <row r="145" spans="3:4" ht="12.75">
      <c r="C145" s="64"/>
      <c r="D145" s="64"/>
    </row>
    <row r="146" spans="3:4" ht="12.75">
      <c r="C146" s="64"/>
      <c r="D146" s="64"/>
    </row>
    <row r="147" spans="3:4" ht="12.75">
      <c r="C147" s="64"/>
      <c r="D147" s="64"/>
    </row>
    <row r="148" spans="3:4" ht="12.75">
      <c r="C148" s="64"/>
      <c r="D148" s="64"/>
    </row>
    <row r="149" spans="3:4" ht="12.75">
      <c r="C149" s="64"/>
      <c r="D149" s="64"/>
    </row>
    <row r="150" spans="3:4" ht="12.75">
      <c r="C150" s="64"/>
      <c r="D150" s="64"/>
    </row>
    <row r="151" spans="3:4" ht="12.75">
      <c r="C151" s="64"/>
      <c r="D151" s="64"/>
    </row>
    <row r="152" spans="3:4" ht="12.75">
      <c r="C152" s="64"/>
      <c r="D152" s="64"/>
    </row>
    <row r="153" spans="3:4" ht="12.75">
      <c r="C153" s="64"/>
      <c r="D153" s="64"/>
    </row>
    <row r="154" spans="3:4" ht="12.75">
      <c r="C154" s="64"/>
      <c r="D154" s="64"/>
    </row>
    <row r="155" spans="3:4" ht="12.75">
      <c r="C155" s="64"/>
      <c r="D155" s="64"/>
    </row>
    <row r="156" spans="3:4" ht="12.75">
      <c r="C156" s="64"/>
      <c r="D156" s="64"/>
    </row>
    <row r="157" spans="3:4" ht="12.75">
      <c r="C157" s="64"/>
      <c r="D157" s="64"/>
    </row>
    <row r="158" spans="3:4" ht="12.75">
      <c r="C158" s="64"/>
      <c r="D158" s="64"/>
    </row>
    <row r="159" spans="3:4" ht="12.75">
      <c r="C159" s="64"/>
      <c r="D159" s="64"/>
    </row>
    <row r="160" spans="3:4" ht="12.75">
      <c r="C160" s="64"/>
      <c r="D160" s="64"/>
    </row>
    <row r="161" spans="3:4" ht="12.75">
      <c r="C161" s="64"/>
      <c r="D161" s="64"/>
    </row>
    <row r="162" spans="3:4" ht="12.75">
      <c r="C162" s="64"/>
      <c r="D162" s="64"/>
    </row>
    <row r="163" spans="3:4" ht="12.75">
      <c r="C163" s="64"/>
      <c r="D163" s="64"/>
    </row>
    <row r="164" spans="3:4" ht="12.75">
      <c r="C164" s="64"/>
      <c r="D164" s="64"/>
    </row>
    <row r="165" spans="3:4" ht="12.75">
      <c r="C165" s="64"/>
      <c r="D165" s="64"/>
    </row>
    <row r="166" spans="3:4" ht="12.75">
      <c r="C166" s="64"/>
      <c r="D166" s="64"/>
    </row>
    <row r="167" spans="3:4" ht="12.75">
      <c r="C167" s="64"/>
      <c r="D167" s="64"/>
    </row>
    <row r="168" spans="3:4" ht="12.75">
      <c r="C168" s="64"/>
      <c r="D168" s="64"/>
    </row>
    <row r="169" spans="3:4" ht="12.75">
      <c r="C169" s="64"/>
      <c r="D169" s="64"/>
    </row>
  </sheetData>
  <mergeCells count="8">
    <mergeCell ref="F4:F6"/>
    <mergeCell ref="G4:G6"/>
    <mergeCell ref="H4:H6"/>
    <mergeCell ref="I4:I6"/>
    <mergeCell ref="AK4:AK6"/>
    <mergeCell ref="AL4:AL6"/>
    <mergeCell ref="AM4:AM6"/>
    <mergeCell ref="AN4:AN6"/>
  </mergeCells>
  <printOptions/>
  <pageMargins left="0.75" right="0.75" top="1" bottom="1" header="0.4921259845" footer="0.4921259845"/>
  <pageSetup fitToHeight="2" fitToWidth="1" horizontalDpi="355" verticalDpi="355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j_claessens</dc:creator>
  <cp:keywords/>
  <dc:description/>
  <cp:lastModifiedBy>I_Bruyere</cp:lastModifiedBy>
  <cp:lastPrinted>2003-03-24T11:17:19Z</cp:lastPrinted>
  <dcterms:created xsi:type="dcterms:W3CDTF">2002-03-19T08:19:43Z</dcterms:created>
  <dcterms:modified xsi:type="dcterms:W3CDTF">2003-03-24T11:20:07Z</dcterms:modified>
  <cp:category/>
  <cp:version/>
  <cp:contentType/>
  <cp:contentStatus/>
</cp:coreProperties>
</file>