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30" windowWidth="12120" windowHeight="8355" tabRatio="721" activeTab="0"/>
  </bookViews>
  <sheets>
    <sheet name="questionnaire" sheetId="1" r:id="rId1"/>
    <sheet name="liste améliorations" sheetId="2" r:id="rId2"/>
    <sheet name="liens Q R" sheetId="3" state="hidden" r:id="rId3"/>
    <sheet name="calcul" sheetId="4" state="hidden" r:id="rId4"/>
  </sheets>
  <definedNames>
    <definedName name="Ameliorations_gestion_chauffBNC">'liste améliorations'!$H$64:$H$85</definedName>
    <definedName name="Ameliorations_maintenance_regulation">'liste améliorations'!$G$58:$G$75</definedName>
    <definedName name="Ameliorations_rendem_chaudiereBNC">'liste améliorations'!$H$7:$H$19</definedName>
    <definedName name="Ameliorations_rendement_chaudiere">'liste améliorations'!$H$7:$H$18</definedName>
    <definedName name="Ameliorations_reseau_emission">'liste améliorations'!$G$33:$G$40</definedName>
    <definedName name="Ameliorations_reseau_emissionBNC">'liste améliorations'!$H$35:$H$47</definedName>
    <definedName name="Choix_fréquence" localSheetId="1">'liste améliorations'!#REF!</definedName>
    <definedName name="Choix_fréquence">'calcul'!$AM$7:$AM$9</definedName>
    <definedName name="_xlnm.Print_Area" localSheetId="3">'calcul'!$A$4:$G$58</definedName>
    <definedName name="_xlnm.Print_Area" localSheetId="2">'liens Q R'!$A$2:$I$215</definedName>
    <definedName name="_xlnm.Print_Area" localSheetId="1">'liste améliorations'!$A$1:$E$103</definedName>
    <definedName name="_xlnm.Print_Area" localSheetId="0">'questionnaire'!$B$1:$AA$493</definedName>
  </definedNames>
  <calcPr fullCalcOnLoad="1"/>
</workbook>
</file>

<file path=xl/sharedStrings.xml><?xml version="1.0" encoding="utf-8"?>
<sst xmlns="http://schemas.openxmlformats.org/spreadsheetml/2006/main" count="359" uniqueCount="255">
  <si>
    <t>Impact</t>
  </si>
  <si>
    <t>x Rentabilité</t>
  </si>
  <si>
    <t>x Fréquence</t>
  </si>
  <si>
    <t>= Priorité</t>
  </si>
  <si>
    <t>l</t>
  </si>
  <si>
    <t>Choix fréquence</t>
  </si>
  <si>
    <t>Tri (° place)</t>
  </si>
  <si>
    <t>Audit énergétique de l'installation de chauffage</t>
  </si>
  <si>
    <t>Production d'eau chaude</t>
  </si>
  <si>
    <t>Gestion</t>
  </si>
  <si>
    <t xml:space="preserve">Remplacer le brûleur </t>
  </si>
  <si>
    <t>Remplacer la chaudière et le brûleur</t>
  </si>
  <si>
    <t>AMELIORER LE RENDEMENT DE LA CHAUDIERE</t>
  </si>
  <si>
    <t>Équilibrer le réseau hydraulique</t>
  </si>
  <si>
    <t>Réguler l'aquastat pour qu'en été, en dehors des périodes de préparation de l'eau chaude sanitaire, la température de la chaudière retombe à 20°C</t>
  </si>
  <si>
    <t>-</t>
  </si>
  <si>
    <t>…2%...</t>
  </si>
  <si>
    <t>15 à 30 %</t>
  </si>
  <si>
    <t>S'il existe des besoins de chaleur et d'électricité continus et simultanés, sont-ils valorisés par une installation de cogénération ?</t>
  </si>
  <si>
    <t>Etudier la faisabilité de la cogénération</t>
  </si>
  <si>
    <t>Isolation des chaudières</t>
  </si>
  <si>
    <t>AMELIORER LE RESEAU ET L'EMISSION</t>
  </si>
  <si>
    <t>Distribution d'eau chaude et émission</t>
  </si>
  <si>
    <t>Réseau</t>
  </si>
  <si>
    <t>Isoler les conduites (ainsi que les vannes) dans les locaux non chauffés en permanence (gaines techniques, faux-plafonds, …)</t>
  </si>
  <si>
    <t>Isoler les vannes situées sur les conduites isolées</t>
  </si>
  <si>
    <t>Maintenance</t>
  </si>
  <si>
    <t>(circuits séparés en fonction de l'orientation et de l'usage des locaux : horaires d'utilisation, température de consigne, etc.)</t>
  </si>
  <si>
    <t>Régler le régulateur de tirage</t>
  </si>
  <si>
    <t xml:space="preserve">(contrôle périodique de la combustion) </t>
  </si>
  <si>
    <t>Régulation…en temps</t>
  </si>
  <si>
    <t>Le nombre de jours programmables des horloges correspond-il au mode d'occupation des locaux ?</t>
  </si>
  <si>
    <t>(peut-on faire une programmation différente un jour de semaine et le week-end, peut-on programmer à l'avance les journées de congé, …?)</t>
  </si>
  <si>
    <t>Régulation…en intensité</t>
  </si>
  <si>
    <t xml:space="preserve">(la chaudière ne doit pas rester en température haute sur son aquastat) </t>
  </si>
  <si>
    <t>Régulation…en lieu</t>
  </si>
  <si>
    <t>De l'eau est-elle régulièrement ajoutée au réseau ?</t>
  </si>
  <si>
    <t>(Signe d'une fuite de l'installation et, à terme, d'un risque de corrosion</t>
  </si>
  <si>
    <t>Chercher la cause de l'insuffisance d'eau, l'origine de la fuite</t>
  </si>
  <si>
    <t>Si oui,</t>
  </si>
  <si>
    <t>Amélioration de l'installation de chauffage</t>
  </si>
  <si>
    <t>1 à 0</t>
  </si>
  <si>
    <t xml:space="preserve">Le rendement de combustion est-il supérieur </t>
  </si>
  <si>
    <t>- à 88% s'il s'agit d'une ancienne chaudière ?</t>
  </si>
  <si>
    <t>- à 91% s'il s'agit d'une nouvelle chaudière ?</t>
  </si>
  <si>
    <t xml:space="preserve">Si non, </t>
  </si>
  <si>
    <t>Impact x rent</t>
  </si>
  <si>
    <t>AMELIORER LA MAINTENANCE ET LA REGULATION</t>
  </si>
  <si>
    <t>Améliorations de l'installation de chauffage</t>
  </si>
  <si>
    <t>Le corps de la chaudière est-il bien isolé ?</t>
  </si>
  <si>
    <t>(entièrement recouvert (pas de zone non isolé, comme la porte foyère, par exemple), épaisseur &gt;3 cm, panneaux isolants jointifs, épousant le corps de la chaudière)</t>
  </si>
  <si>
    <t>La jaquette est-elle froide au contact de la main (T° &lt; 35°C) ?</t>
  </si>
  <si>
    <t xml:space="preserve">Le clapet d'air du brûleur se referme-t-il à l'arrêt ? </t>
  </si>
  <si>
    <t>Puissance totale des brûleurs :</t>
  </si>
  <si>
    <t>Cette valeur est-elle</t>
  </si>
  <si>
    <t xml:space="preserve">Calculer le rapport </t>
  </si>
  <si>
    <t xml:space="preserve">consommation annuelle [litres fuel ou m³ gaz] x 10 / puissance des brûleurs [kW] </t>
  </si>
  <si>
    <t>(L'arrivée d'eau froide à la chaudière permet de valoriser la condensation)</t>
  </si>
  <si>
    <t>Les conduites traversant les locaux non chauffés en permanence (chaufferie, gaines techniques, faux-plafonds, …) sont-elles isolées ?</t>
  </si>
  <si>
    <t>Les vannes sont-elles également isolées ?</t>
  </si>
  <si>
    <t>x Occurrence</t>
  </si>
  <si>
    <t>Par grand froid (T° &lt; 0°C), la différence de température entre le départ et le retour des circuits est-elle &gt; 15°C?</t>
  </si>
  <si>
    <t>Le circuit hydraulique est-il découpé par zones de besoins homogènes ?</t>
  </si>
  <si>
    <t>Les différents circuits ont-ils leur propre régulation ?</t>
  </si>
  <si>
    <t>Equiper les différents circuits d'une régulation indépendante.</t>
  </si>
  <si>
    <t xml:space="preserve">Si l'installation est composée de plusieurs chaudières, </t>
  </si>
  <si>
    <t>Chaque chaudière est-elle équipée d'une vanne d'isolement motorisée ?</t>
  </si>
  <si>
    <t>les chaudières sont-elles régulées en cascade ?</t>
  </si>
  <si>
    <t>Améliorer la régulation en cascade</t>
  </si>
  <si>
    <t>Si les chaudières ont une puissance &gt; 150 kW,</t>
  </si>
  <si>
    <t>la température de retour de l'eau vers la chaudière est le plus souvent &lt; 50°C ?</t>
  </si>
  <si>
    <t>Les brûleurs sont-ils contrôlés plusieurs fois par an ?</t>
  </si>
  <si>
    <t>Contrôler les brûleurs plusieurs fois par an</t>
  </si>
  <si>
    <t>Dimensionnement des pompes de circulation :</t>
  </si>
  <si>
    <t>La régulation du chauffage a-t-elle un programme de jour et un programme de nuit ?</t>
  </si>
  <si>
    <t>Régulation de la chaudière en été :</t>
  </si>
  <si>
    <t>Si la chaudière est nécessaire à la préparation de l'eau chaude sanitaire, 
sa température retombe-t-elle à 20°C en dehors des périodes de préparation de l'eau chaude sanitaire  ?</t>
  </si>
  <si>
    <t>Le vase d'expansion sonne-t-il "creux" ?</t>
  </si>
  <si>
    <t>Amélioration</t>
  </si>
  <si>
    <t>Si non à une des 2 questions :</t>
  </si>
  <si>
    <t>non puis oui :</t>
  </si>
  <si>
    <t>non puis non :</t>
  </si>
  <si>
    <t>Améliorer le réseau hydraulique pour valoriser la chaudière à condensation</t>
  </si>
  <si>
    <t>Si oui puis non,</t>
  </si>
  <si>
    <t>Si oui puis non :</t>
  </si>
  <si>
    <t xml:space="preserve">Arrêter les circulateurs lorsqu'il n'y a pas de besoin de chauffage </t>
  </si>
  <si>
    <t>Adapter les horaires de la régulation aux horaires d'occupation réels du bâtiment</t>
  </si>
  <si>
    <t>Arrêter la chaudière en été</t>
  </si>
  <si>
    <t>Si la chaudière n'est pas nécessaire à la préparation de l'eau chaude sanitaire, 
est-elle arrêtée en été ?</t>
  </si>
  <si>
    <t>Existe-t-il un régulateur de tirage sur la cheminée ?</t>
  </si>
  <si>
    <t>Si oui, est-il correctement réglé ?</t>
  </si>
  <si>
    <t>Equiper les chaudières pour pouvoir piloter chaudières et brûleurs en cascade</t>
  </si>
  <si>
    <t>est-ce que la grande allure n'est réellement commandée qu'en fonction des besoins ?</t>
  </si>
  <si>
    <t>(parfois, la première allure ne sert qu'au démarrage, puis la seconde allure est permanente…)</t>
  </si>
  <si>
    <t xml:space="preserve">S'il y a une chaudière à condensation, </t>
  </si>
  <si>
    <t>Les circulateurs sont-ils arrêtés lorsqu'il n'y a pas de besoins de chauffage ?</t>
  </si>
  <si>
    <t>Equiper le départ des différents circuits de vannes d'équilibrage et les radiateurs/ventilo-convecteurs de tés de réglage, puis équilibrer l'installation.</t>
  </si>
  <si>
    <t>Placer des vannes thermostatiques dans les locaux où il y a surchauffe</t>
  </si>
  <si>
    <t>Remplacer le vase d'expansion</t>
  </si>
  <si>
    <t>Cellule liée</t>
  </si>
  <si>
    <t>= Priorité Aff</t>
  </si>
  <si>
    <t xml:space="preserve"> </t>
  </si>
  <si>
    <t xml:space="preserve">Placer un régulateur de tirage </t>
  </si>
  <si>
    <t xml:space="preserve">Colmater les inétanchéités de la chaudière (portes, entre éléments en fonte) </t>
  </si>
  <si>
    <t>Nettoyer la chaudière</t>
  </si>
  <si>
    <t>La chaudière est-elle exempte de traces d'inétanchéité à l'air ?</t>
  </si>
  <si>
    <t>Fréquence</t>
  </si>
  <si>
    <t>Si soit ("non" à quest 3 et 3.1), soit "non" à quest 6.1, soit ("oui" à quest 6.1 et "non" à quest 6.2) (fréquence = max des fréquences de ces questions)
Fréquence = 0.05 si soit (Q.3 = "non" ou "?"  et Q.3.1 = "non" ou "?"), soit Q 6.1 = "?", soit (Q.6.1 = "oui" et Q6.2 = "?")</t>
  </si>
  <si>
    <t>Diminuer la puissance du brûleur existant (Mettre un gicleur de plus petit calibre)</t>
  </si>
  <si>
    <t>Si "oui" 9.1 et "non" 9.2</t>
  </si>
  <si>
    <t>Si "non" à 10.1 ou 10.2</t>
  </si>
  <si>
    <t>Si non à une des deux questions :</t>
  </si>
  <si>
    <t>Si "oui" 12 et "non" 12.1</t>
  </si>
  <si>
    <t>La puissance du brûleur est-elle inférieure à celle de la chaudière ?</t>
  </si>
  <si>
    <t>…1%... De la consommation de chauffage pour un suivi saisonnier du réglage</t>
  </si>
  <si>
    <t>0,5% à 2%</t>
  </si>
  <si>
    <t xml:space="preserve">perte de rendement de combustion de 4 à 8% pour 1 mm de suie sur la surface de l'échangeur </t>
  </si>
  <si>
    <t>Emission</t>
  </si>
  <si>
    <t>L'utilisation de radiateurs électriques d'appoint est-elle évitée ?</t>
  </si>
  <si>
    <t>Si non, dans quels locaux sont-ils utilisés ?</t>
  </si>
  <si>
    <t>L'emplacement des sondes d'ambiance est-il représentatif des besoins ?</t>
  </si>
  <si>
    <t xml:space="preserve">(pas à proximité d'une source chaude ou froide, ni trop près des fenêtres ou de la bouche de ventilation, ...) </t>
  </si>
  <si>
    <t>Si vous avez des grands espaces (grands halls, ateliers, atrium,...), sont-ils chauffés par rayonnement et non par air chaud ?</t>
  </si>
  <si>
    <t xml:space="preserve">(par le sol, avec panneaux radiatifs,...) </t>
  </si>
  <si>
    <t>Si vous avez des radiateurs,</t>
  </si>
  <si>
    <t>Les murs extérieurs derrière les radiateurs sont-ils isolés ?</t>
  </si>
  <si>
    <t xml:space="preserve">Comportement des occupants </t>
  </si>
  <si>
    <t xml:space="preserve">Les occupants utilisent-ils la régulation (vannes thermostatiques ou commandes des unités terminales) plutôt que d'ouvrir les fenêtres en cas de surchauffe ? </t>
  </si>
  <si>
    <r>
      <t xml:space="preserve">Les occupants évitent-ils d'encombrer les équipements ?
</t>
    </r>
    <r>
      <rPr>
        <i/>
        <sz val="8"/>
        <rFont val="Verdana"/>
        <family val="2"/>
      </rPr>
      <t xml:space="preserve">(Radiateurs recouverts, objets encombrants devant les radiateurs,...) </t>
    </r>
    <r>
      <rPr>
        <sz val="8"/>
        <rFont val="Verdana"/>
        <family val="2"/>
      </rPr>
      <t xml:space="preserve">
</t>
    </r>
  </si>
  <si>
    <t>Y a-t-il des vannes d'équilibrage au départ des différents circuits, et des tés de réglage sur les radiateurs ?</t>
  </si>
  <si>
    <t>&gt; 1 500 h pour une bâtiment ancien ?</t>
  </si>
  <si>
    <t>&gt; 1 000 h pour un bâtiment récent et fort équipé ?</t>
  </si>
  <si>
    <t xml:space="preserve">Les cycles de fonctionnement du brûleur sont-ils longs ? </t>
  </si>
  <si>
    <t>(supérieurs à 4 min)</t>
  </si>
  <si>
    <t xml:space="preserve">le brûleur est-il soit un brûleur 2 allures ou soit un brûleur modulant ? </t>
  </si>
  <si>
    <t>Si l'installation est équipée de radiateurs (ou convecteurs) avec vannes thermostatiques, la pompe de circulation est-elle à vitesse variable ?</t>
  </si>
  <si>
    <t>Remplacer le système de chauffage par air chaud des grands espaces (grands halls, ateliers, atrium,...) par un système par rayonnement (par le sol, panneaux radiatifs,…)</t>
  </si>
  <si>
    <t>L'investissement nécessaire, et donc la rentabilité, dépendent beaucoup de la disposition des lieux et du type de finitions</t>
  </si>
  <si>
    <t>AMELIORER LA DISTRIBUTION ET L'EMISSION</t>
  </si>
  <si>
    <t>Remédier à l'inconfort thermique dans les locaux où des radiateurs électriques d'appoint sont utilisés.</t>
  </si>
  <si>
    <t>Placer un film isolant/réfléchissant derrière les radiateurs placés contre un mur extérieur</t>
  </si>
  <si>
    <t>Remplacer les allèges vitrées par des allèges opaques isolées</t>
  </si>
  <si>
    <t>3 à 9% de la consommation destinée au chauffage des locaux</t>
  </si>
  <si>
    <t>Déplacer les sondes d'ambiance mal situées (à proximité d'une source chaude ou froide, trop près des fenêtres ou de la bouche de ventilation, ... )</t>
  </si>
  <si>
    <t>Adapter les consignes des différentes zones thermiques homogènes à leur type d'occupation (passage, activité légère, activité importante,…)</t>
  </si>
  <si>
    <t>Sensibiliser les occupants à utiliser les vannes thermostatiques (ou commandes des unités terminales) plutôt que d'ouvrir les fenêtres en cas de surchauffe.</t>
  </si>
  <si>
    <t>Sensibiliser les occupants à éviter d'encombrer les radiateurs</t>
  </si>
  <si>
    <t>Amélioration du confort, l'économie dépend de l'importance de la surchauffe globale pour essayer de satisfaire les occupants des locaux mal chauffés (1°C de trop…7 à 8% de surconsommation)</t>
  </si>
  <si>
    <t>1°C de trop…7 à 8% de surconsommation</t>
  </si>
  <si>
    <t>Si non à 5 :</t>
  </si>
  <si>
    <t>Si oui à 5 et non à une des 2 sous-questions :</t>
  </si>
  <si>
    <t>Si non à 6.1 :</t>
  </si>
  <si>
    <t>Si oui à 6.1 et non à 6.2 :</t>
  </si>
  <si>
    <t>Si "oui" à Q 1.2 et "non" à Q 1.3</t>
  </si>
  <si>
    <t>Si non à 14 et 15</t>
  </si>
  <si>
    <t xml:space="preserve">Si "oui" à 15 et "non" à 14 </t>
  </si>
  <si>
    <t>(Bâtiments non climatisés)</t>
  </si>
  <si>
    <t>1... 3%</t>
  </si>
  <si>
    <t>2 à 5%</t>
  </si>
  <si>
    <t>…1%...</t>
  </si>
  <si>
    <t xml:space="preserve">…1%... </t>
  </si>
  <si>
    <t>3%... 10%</t>
  </si>
  <si>
    <t>90% des pertes de la conduite</t>
  </si>
  <si>
    <t>90% des pertes de la vanne</t>
  </si>
  <si>
    <t>Adapter le découpage du réseau aux besoins des locaux</t>
  </si>
  <si>
    <t>… 6...% de la consommation de chauffage</t>
  </si>
  <si>
    <t>Remplacer les circulateurs existants par des circulateurs à vitesse variable</t>
  </si>
  <si>
    <t>40 … 50% de la consommation du circulateur</t>
  </si>
  <si>
    <t>Arrêter l'installation de chauffage la nuit et le week-end</t>
  </si>
  <si>
    <t>Remplacer l'horloge afin de pouvoir programmer le fonctionnement de l'installation conformément à l'utilisation du bâtiment (en fonction du jour de la semaine, des jours de congé,…)</t>
  </si>
  <si>
    <t>5 ... 15 %</t>
  </si>
  <si>
    <t>… 6 ...%</t>
  </si>
  <si>
    <t>… 5% … si l'installation est coupée 14h00 au lieu de 12h00</t>
  </si>
  <si>
    <t>50 % de la consommation des circulateurs</t>
  </si>
  <si>
    <t>La chaudière est-elle "propre" (pas encrassée) ?</t>
  </si>
  <si>
    <t>La chaudière et le brûleur ont-ils moins de 25 ans ?</t>
  </si>
  <si>
    <t>Si non à 1,</t>
  </si>
  <si>
    <t>et si oui à 1.1, 1.2, 1.3, 1.4, 1.5 et 1.6,</t>
  </si>
  <si>
    <t>Si non à 1, et non à 1.1 :</t>
  </si>
  <si>
    <t>Si non à 1, et non à 1.2 :</t>
  </si>
  <si>
    <t>Si non à 1, et oui à 1.2, et non à 1.3 :</t>
  </si>
  <si>
    <t>Si non à 1, et non à 1.4 :</t>
  </si>
  <si>
    <t>Si non à 1, et non à 1.5 :</t>
  </si>
  <si>
    <t>Si non à 1, et non à 1.6 :</t>
  </si>
  <si>
    <t>et si non à 1.1,ou 1.2, ou 1.3, ou 1.4, ou 1.6,</t>
  </si>
  <si>
    <t>Réisoler la chaudière, et par la suite, envisager son remplacement</t>
  </si>
  <si>
    <t>Si le rendement reste inférieur à 88% après avoir effectué les améliorations possibles (colmaté et nettoyé la chaudière, régulé le tirage, diminué la puissance du brûleur),remplacer la chaudière et le brûleur</t>
  </si>
  <si>
    <t>Corriger le raccordement électrique du brûleur ou débloquer le clapet pour qu'il se ferme</t>
  </si>
  <si>
    <t>Mettre une chaudière à l'arrêt</t>
  </si>
  <si>
    <t>Le maintien en température de toutes les chaudières durant la saison de chauffe est-il évité ?</t>
  </si>
  <si>
    <t xml:space="preserve">Vérifier les paramètres de régulation pour permettre la condensation (l'eau arrive froide à la chaudière) </t>
  </si>
  <si>
    <t>(pour valoriser la condensation)</t>
  </si>
  <si>
    <r>
      <t>La somme des puissances électriques des circulateurs est-elle inférieure à
2°/。。</t>
    </r>
    <r>
      <rPr>
        <sz val="8"/>
        <rFont val="Arial Unicode MS"/>
        <family val="2"/>
      </rPr>
      <t xml:space="preserve"> </t>
    </r>
    <r>
      <rPr>
        <sz val="8"/>
        <rFont val="Verdana"/>
        <family val="2"/>
      </rPr>
      <t>de la puissance des chaudières ?</t>
    </r>
  </si>
  <si>
    <t>Réduire de vitesse les circulateurs à plusieurs vitesses</t>
  </si>
  <si>
    <t>Les locaux en bout de circuit de chauffage sont-ils aussi bien chauffés que les autres ?</t>
  </si>
  <si>
    <t>Des locaux défavorisés (difficiles à chauffer) ou présentant de problèmes d'inconfort indiquent un problème d'équilibrage du réseau.</t>
  </si>
  <si>
    <t>Distribution d'eau chaude</t>
  </si>
  <si>
    <t>Isolation des conduites</t>
  </si>
  <si>
    <t>Circulateurs</t>
  </si>
  <si>
    <t>le ralenti de nuit est-il contrôlé par une sonde d'ambiance ?</t>
  </si>
  <si>
    <t>Pratiquer un ralenti par coupure complète de l'installation, contrôlée par thermostat d'ambiance</t>
  </si>
  <si>
    <t>5…15 %</t>
  </si>
  <si>
    <t xml:space="preserve">La température ambiante de consigne en chauffage est-elle respectée ? </t>
  </si>
  <si>
    <t xml:space="preserve">Corriger le réglage des courbes de chauffe </t>
  </si>
  <si>
    <t>Placer un thermostat d'ambiance de compensation</t>
  </si>
  <si>
    <t>Les radiateurs des locaux ensoleillés ou à forte occupation sont-ils équipés de vannes thermostatiques ?</t>
  </si>
  <si>
    <r>
      <t xml:space="preserve">Les occupants évitent-ils d'encombrer les équipements ?
</t>
    </r>
    <r>
      <rPr>
        <i/>
        <sz val="8"/>
        <rFont val="Verdana"/>
        <family val="2"/>
      </rPr>
      <t xml:space="preserve">(Convecteurs recouverts, objets encombrants devant les radiateurs,...) </t>
    </r>
    <r>
      <rPr>
        <sz val="8"/>
        <rFont val="Verdana"/>
        <family val="2"/>
      </rPr>
      <t xml:space="preserve">
</t>
    </r>
  </si>
  <si>
    <t>le brûleur date -t-il d'après 1985 ?</t>
  </si>
  <si>
    <t>Jusqu'à 15%</t>
  </si>
  <si>
    <t xml:space="preserve">   </t>
  </si>
  <si>
    <t>Si "non" à Q0, ou si ("non" à Q1 et "oui" aux Q 1.1, 1.2, 1.3, 1.4 et 1.6), ou si ("non" à Q1 et à Q1.5)</t>
  </si>
  <si>
    <t>Si "non" à Q 1et soit "non", soit "?" aux Q 1.1, 1.2, 1.3, 1.4 et 1.6</t>
  </si>
  <si>
    <t>Si "non" à Q 1.6, ou Q 4.1 ou Q 4.2</t>
  </si>
  <si>
    <t>Si "non" à Q3 et "oui" à Q 3.1</t>
  </si>
  <si>
    <t>Si non à Q1 et non à soit Q 1.1, Q1.2, Q1.3,Q1.4 ou Q 1.6</t>
  </si>
  <si>
    <t>Si "non" à Q 10.1 ou 10.2 ou 11</t>
  </si>
  <si>
    <t>AMELIORER LA GESTION ET LA MAINTENANCE</t>
  </si>
  <si>
    <t>Si soit ("non" à Q 4.1 ou 4.2), soit ("oui" 5 et "non" à 5.1 ou 5.2), soit ( "oui" 6.1 et "non" 6.2)</t>
  </si>
  <si>
    <t>Si "non" à Q 4.1 ou 4.2)</t>
  </si>
  <si>
    <t>Si "oui" 19 et "non" 19.1</t>
  </si>
  <si>
    <t>Si "oui" 19 et "non" 19.2</t>
  </si>
  <si>
    <t>Si "oui" 19 et "non" 19.3</t>
  </si>
  <si>
    <t>Si "non" à Q 22.1 ou Q 24</t>
  </si>
  <si>
    <t>Tests :</t>
  </si>
  <si>
    <t>sur réponses</t>
  </si>
  <si>
    <t>sur occurrence</t>
  </si>
  <si>
    <t>Nombre de questions cochées :</t>
  </si>
  <si>
    <t>Nombre de questions à cocher :</t>
  </si>
  <si>
    <t>Nombre de questions non cochées :</t>
  </si>
  <si>
    <t>Nombres de questions avec réponse "non" et sans occurrence :</t>
  </si>
  <si>
    <t>Les murs extérieurs derrière les radiateurs sont-ils opaques ? (pas d'allège vitrée)</t>
  </si>
  <si>
    <t>?? À éclaircir</t>
  </si>
  <si>
    <t>La chaudière est-elle munie d'un brûleur à air pulsé ou d'un ventilateur d'extraction sur les fumées ?</t>
  </si>
  <si>
    <t>(Le foyer est-il étanche lors de l'arrêt ?)</t>
  </si>
  <si>
    <t>Les horaires appliqués correspondent-ils réellement à l'occupation ?</t>
  </si>
  <si>
    <t>(fumées noires, rouille le long de la jaquette)</t>
  </si>
  <si>
    <t>(Une dépression dans la buse de cheminée (mentionnée dans la fiche d'entretien) &gt; 20 Pa est un indice de tirage trop important.)</t>
  </si>
  <si>
    <t>(entretien régulier)</t>
  </si>
  <si>
    <t xml:space="preserve">Voir les puissances sur la fiche d'entretien. A défaut, un indice pour repérer un brûleur dont la puissance est peut-être supérieure à celle de la chaudière : la flamme tape trop fort au fond. </t>
  </si>
  <si>
    <t>Remarque : la question ne se pose pas pour les chaudières atmosphériques.</t>
  </si>
  <si>
    <t>(ou circulateur propre + clapet anti-retour)</t>
  </si>
  <si>
    <t>… 40...% de la consommation électrique des circulateurs</t>
  </si>
  <si>
    <t>Améliorer le réglage du brûleur : Régler le registre d'air et la tête de combustion</t>
  </si>
  <si>
    <t>15 à 20 % d'économie potentielle sur l'énergie primaire totale de fonctionnement du bâtiment - Jusqu'à 50% d'économie sur la facture électrique. Rentabilité faible pour des bureaux et élevée pour les hôpitaux</t>
  </si>
  <si>
    <t>Evite un manque d'eau entraînant un mauvais fonctionnement, ou un ajout d'eau trop fréquent</t>
  </si>
  <si>
    <t xml:space="preserve">Evite l'ajout d'eau trop fréquent dans la chaudière, entraînant une détérioration par corrosion de l'installation et une surconsommation due à l'entartrage  </t>
  </si>
  <si>
    <t>(Signe d'un inconfort thermique pour l'occupant. Il peut être du à des parois froides, un courant d'air, un manque de puissance des radiateurs, une mauvaise régulation du chauffage, un mauvais équilibrage du réseau d'eau chaude, …)</t>
  </si>
  <si>
    <t>(Un dépassement de la température de consigne entraîne une surconsommation)</t>
  </si>
  <si>
    <t>Est-elle adaptée à chaque zone ? (Bureau, atelier, couloirs, sanitaires, …)</t>
  </si>
  <si>
    <t>(en été, en coupure de nuit, etc., lorsque les vannes mélangeuses sont fermées)</t>
  </si>
  <si>
    <t>Si les circulateurs ne sont pas à vitesse variable</t>
  </si>
  <si>
    <t>Si non à 13 (pb d'équilibrage) et oui à 14 (équipements existant pour améliorer) : :</t>
  </si>
  <si>
    <t>Si non à 13 et 14 :</t>
  </si>
  <si>
    <t xml:space="preserve">Si oui à 19 : </t>
  </si>
  <si>
    <t>Si non à 19.1</t>
  </si>
</sst>
</file>

<file path=xl/styles.xml><?xml version="1.0" encoding="utf-8"?>
<styleSheet xmlns="http://schemas.openxmlformats.org/spreadsheetml/2006/main">
  <numFmts count="19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</numFmts>
  <fonts count="66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20"/>
      <color indexed="63"/>
      <name val="Verdana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Wingdings"/>
      <family val="0"/>
    </font>
    <font>
      <sz val="10"/>
      <name val="Comic Sans MS"/>
      <family val="4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5"/>
      <name val="Arial"/>
      <family val="0"/>
    </font>
    <font>
      <sz val="8"/>
      <color indexed="12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16"/>
      <name val="Verdana"/>
      <family val="2"/>
    </font>
    <font>
      <b/>
      <sz val="18"/>
      <name val="Verdana"/>
      <family val="2"/>
    </font>
    <font>
      <sz val="14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i/>
      <sz val="10"/>
      <name val="Arial"/>
      <family val="0"/>
    </font>
    <font>
      <sz val="16"/>
      <name val="Verdana"/>
      <family val="2"/>
    </font>
    <font>
      <b/>
      <sz val="13"/>
      <name val="Verdana"/>
      <family val="2"/>
    </font>
    <font>
      <b/>
      <i/>
      <sz val="11"/>
      <name val="Verdana"/>
      <family val="2"/>
    </font>
    <font>
      <i/>
      <sz val="8"/>
      <name val="Verdana"/>
      <family val="2"/>
    </font>
    <font>
      <i/>
      <sz val="8"/>
      <name val="Arial"/>
      <family val="0"/>
    </font>
    <font>
      <sz val="8"/>
      <name val="Wingdings"/>
      <family val="0"/>
    </font>
    <font>
      <b/>
      <sz val="14"/>
      <color indexed="52"/>
      <name val="Arial Black"/>
      <family val="2"/>
    </font>
    <font>
      <sz val="9"/>
      <color indexed="10"/>
      <name val="Verdana"/>
      <family val="2"/>
    </font>
    <font>
      <b/>
      <sz val="9"/>
      <color indexed="57"/>
      <name val="Verdana"/>
      <family val="2"/>
    </font>
    <font>
      <sz val="20"/>
      <color indexed="63"/>
      <name val="Arial"/>
      <family val="2"/>
    </font>
    <font>
      <sz val="9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name val="Arial Unicode MS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0"/>
      <color indexed="12"/>
      <name val="Verdana"/>
      <family val="2"/>
    </font>
    <font>
      <sz val="8"/>
      <color indexed="17"/>
      <name val="Verdana"/>
      <family val="2"/>
    </font>
    <font>
      <i/>
      <sz val="8"/>
      <color indexed="17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8"/>
      <color indexed="17"/>
      <name val="Verdana"/>
      <family val="2"/>
    </font>
    <font>
      <b/>
      <sz val="20"/>
      <color indexed="63"/>
      <name val="Verdana"/>
      <family val="2"/>
    </font>
    <font>
      <i/>
      <sz val="8"/>
      <color indexed="12"/>
      <name val="Verdana"/>
      <family val="2"/>
    </font>
    <font>
      <i/>
      <sz val="8"/>
      <color indexed="10"/>
      <name val="Arial"/>
      <family val="2"/>
    </font>
    <font>
      <b/>
      <i/>
      <sz val="11"/>
      <name val="Arial"/>
      <family val="0"/>
    </font>
    <font>
      <i/>
      <sz val="9"/>
      <name val="Arial"/>
      <family val="2"/>
    </font>
    <font>
      <i/>
      <sz val="8"/>
      <color indexed="39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14"/>
      <name val="Verdana"/>
      <family val="2"/>
    </font>
    <font>
      <sz val="14"/>
      <color indexed="63"/>
      <name val="Arial Black"/>
      <family val="2"/>
    </font>
    <font>
      <sz val="18"/>
      <color indexed="63"/>
      <name val="Arial Black"/>
      <family val="2"/>
    </font>
    <font>
      <b/>
      <sz val="10"/>
      <name val="Verdana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52"/>
      </left>
      <right style="medium">
        <color indexed="52"/>
      </right>
      <top style="thin">
        <color indexed="52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52"/>
      </left>
      <right style="medium">
        <color indexed="52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thin">
        <color indexed="57"/>
      </left>
      <right style="medium">
        <color indexed="57"/>
      </right>
      <top style="medium">
        <color indexed="22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medium">
        <color indexed="22"/>
      </bottom>
    </border>
    <border>
      <left style="thin">
        <color indexed="10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22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22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52"/>
      </left>
      <right style="medium">
        <color indexed="52"/>
      </right>
      <top style="medium">
        <color indexed="22"/>
      </top>
      <bottom>
        <color indexed="63"/>
      </bottom>
    </border>
    <border>
      <left style="thin">
        <color indexed="52"/>
      </left>
      <right style="medium">
        <color indexed="52"/>
      </right>
      <top>
        <color indexed="63"/>
      </top>
      <bottom style="medium">
        <color indexed="22"/>
      </bottom>
    </border>
    <border>
      <left style="thin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10"/>
      </left>
      <right style="medium">
        <color indexed="10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medium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22"/>
      </right>
      <top>
        <color indexed="63"/>
      </top>
      <bottom style="dotted">
        <color indexed="55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22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hair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dotted">
        <color indexed="22"/>
      </bottom>
    </border>
    <border>
      <left style="thin">
        <color indexed="10"/>
      </left>
      <right style="medium">
        <color indexed="10"/>
      </right>
      <top style="hair"/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22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ill="1" applyBorder="1" applyAlignment="1" quotePrefix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Alignment="1">
      <alignment horizontal="left" indent="1"/>
    </xf>
    <xf numFmtId="0" fontId="0" fillId="2" borderId="2" xfId="0" applyFill="1" applyBorder="1" applyAlignment="1">
      <alignment vertical="top"/>
    </xf>
    <xf numFmtId="0" fontId="3" fillId="0" borderId="0" xfId="0" applyFont="1" applyAlignment="1">
      <alignment horizontal="left" wrapText="1" indent="1"/>
    </xf>
    <xf numFmtId="0" fontId="5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0" fontId="5" fillId="0" borderId="2" xfId="0" applyFont="1" applyBorder="1" applyAlignment="1">
      <alignment textRotation="90"/>
    </xf>
    <xf numFmtId="0" fontId="1" fillId="0" borderId="0" xfId="0" applyFont="1" applyBorder="1" applyAlignment="1">
      <alignment vertical="top"/>
    </xf>
    <xf numFmtId="0" fontId="1" fillId="3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textRotation="9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textRotation="90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18" xfId="0" applyBorder="1" applyAlignment="1">
      <alignment/>
    </xf>
    <xf numFmtId="0" fontId="9" fillId="0" borderId="18" xfId="15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textRotation="90"/>
    </xf>
    <xf numFmtId="0" fontId="21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textRotation="90"/>
    </xf>
    <xf numFmtId="0" fontId="0" fillId="0" borderId="0" xfId="0" applyBorder="1" applyAlignment="1">
      <alignment vertical="center"/>
    </xf>
    <xf numFmtId="0" fontId="25" fillId="0" borderId="0" xfId="0" applyFont="1" applyAlignment="1">
      <alignment/>
    </xf>
    <xf numFmtId="0" fontId="25" fillId="0" borderId="8" xfId="0" applyFont="1" applyBorder="1" applyAlignment="1">
      <alignment/>
    </xf>
    <xf numFmtId="0" fontId="25" fillId="0" borderId="9" xfId="0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left" vertical="top" wrapText="1"/>
    </xf>
    <xf numFmtId="0" fontId="25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7" fillId="0" borderId="2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0" fillId="0" borderId="25" xfId="0" applyFont="1" applyBorder="1" applyAlignment="1">
      <alignment horizontal="left" textRotation="9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/>
    </xf>
    <xf numFmtId="0" fontId="23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8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3" fillId="0" borderId="28" xfId="0" applyFont="1" applyBorder="1" applyAlignment="1">
      <alignment vertical="top"/>
    </xf>
    <xf numFmtId="0" fontId="2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23" fillId="0" borderId="28" xfId="0" applyFont="1" applyBorder="1" applyAlignment="1">
      <alignment vertical="center"/>
    </xf>
    <xf numFmtId="0" fontId="29" fillId="0" borderId="28" xfId="0" applyFont="1" applyBorder="1" applyAlignment="1">
      <alignment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3" fillId="0" borderId="29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9" fillId="0" borderId="29" xfId="0" applyFont="1" applyBorder="1" applyAlignment="1">
      <alignment vertical="top"/>
    </xf>
    <xf numFmtId="0" fontId="29" fillId="0" borderId="30" xfId="0" applyFont="1" applyBorder="1" applyAlignment="1">
      <alignment vertical="top"/>
    </xf>
    <xf numFmtId="0" fontId="2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3" fillId="0" borderId="31" xfId="0" applyFont="1" applyBorder="1" applyAlignment="1">
      <alignment vertical="top"/>
    </xf>
    <xf numFmtId="0" fontId="2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vertical="top"/>
    </xf>
    <xf numFmtId="0" fontId="23" fillId="0" borderId="31" xfId="0" applyFont="1" applyBorder="1" applyAlignment="1">
      <alignment vertical="center"/>
    </xf>
    <xf numFmtId="0" fontId="29" fillId="0" borderId="31" xfId="0" applyFont="1" applyBorder="1" applyAlignment="1">
      <alignment vertical="top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3" fillId="0" borderId="32" xfId="0" applyFont="1" applyBorder="1" applyAlignment="1">
      <alignment vertical="top"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vertical="top"/>
    </xf>
    <xf numFmtId="0" fontId="23" fillId="0" borderId="32" xfId="0" applyFont="1" applyBorder="1" applyAlignment="1">
      <alignment vertical="center"/>
    </xf>
    <xf numFmtId="0" fontId="29" fillId="0" borderId="32" xfId="0" applyFont="1" applyBorder="1" applyAlignment="1">
      <alignment vertical="top"/>
    </xf>
    <xf numFmtId="0" fontId="0" fillId="0" borderId="4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vertical="top"/>
    </xf>
    <xf numFmtId="0" fontId="30" fillId="0" borderId="28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0" fillId="0" borderId="30" xfId="0" applyFont="1" applyBorder="1" applyAlignment="1">
      <alignment vertical="top"/>
    </xf>
    <xf numFmtId="0" fontId="30" fillId="0" borderId="32" xfId="0" applyFont="1" applyBorder="1" applyAlignment="1">
      <alignment vertical="top"/>
    </xf>
    <xf numFmtId="0" fontId="23" fillId="0" borderId="0" xfId="0" applyFont="1" applyAlignment="1">
      <alignment/>
    </xf>
    <xf numFmtId="0" fontId="11" fillId="0" borderId="0" xfId="0" applyFont="1" applyBorder="1" applyAlignment="1">
      <alignment/>
    </xf>
    <xf numFmtId="0" fontId="29" fillId="0" borderId="0" xfId="0" applyFont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30" fillId="0" borderId="31" xfId="0" applyFont="1" applyBorder="1" applyAlignment="1">
      <alignment vertical="top"/>
    </xf>
    <xf numFmtId="0" fontId="1" fillId="0" borderId="3" xfId="0" applyFont="1" applyFill="1" applyBorder="1" applyAlignment="1">
      <alignment textRotation="90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32" fillId="0" borderId="18" xfId="0" applyFont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1" fontId="33" fillId="0" borderId="5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 vertical="center"/>
    </xf>
    <xf numFmtId="1" fontId="2" fillId="0" borderId="0" xfId="0" applyNumberFormat="1" applyFont="1" applyAlignment="1">
      <alignment/>
    </xf>
    <xf numFmtId="1" fontId="2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3" borderId="51" xfId="0" applyFont="1" applyFill="1" applyBorder="1" applyAlignment="1">
      <alignment horizontal="center" vertical="top"/>
    </xf>
    <xf numFmtId="0" fontId="0" fillId="4" borderId="18" xfId="0" applyFont="1" applyFill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38" fillId="0" borderId="17" xfId="0" applyFont="1" applyBorder="1" applyAlignment="1" quotePrefix="1">
      <alignment horizontal="center" vertical="center" wrapText="1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Font="1" applyFill="1" applyBorder="1" applyAlignment="1">
      <alignment horizontal="center" vertical="top"/>
    </xf>
    <xf numFmtId="0" fontId="0" fillId="3" borderId="52" xfId="0" applyFont="1" applyFill="1" applyBorder="1" applyAlignment="1">
      <alignment horizontal="center" vertical="top"/>
    </xf>
    <xf numFmtId="0" fontId="0" fillId="4" borderId="52" xfId="0" applyFont="1" applyFill="1" applyBorder="1" applyAlignment="1">
      <alignment horizontal="center" vertical="top"/>
    </xf>
    <xf numFmtId="0" fontId="1" fillId="0" borderId="53" xfId="0" applyFont="1" applyBorder="1" applyAlignment="1">
      <alignment vertical="top"/>
    </xf>
    <xf numFmtId="0" fontId="0" fillId="0" borderId="54" xfId="0" applyFont="1" applyBorder="1" applyAlignment="1">
      <alignment/>
    </xf>
    <xf numFmtId="0" fontId="3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0" fillId="0" borderId="55" xfId="0" applyBorder="1" applyAlignment="1">
      <alignment/>
    </xf>
    <xf numFmtId="0" fontId="4" fillId="0" borderId="5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4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6" fillId="0" borderId="62" xfId="0" applyFont="1" applyBorder="1" applyAlignment="1">
      <alignment horizontal="left" vertical="center"/>
    </xf>
    <xf numFmtId="0" fontId="42" fillId="0" borderId="62" xfId="0" applyFont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9" fillId="0" borderId="60" xfId="0" applyFont="1" applyBorder="1" applyAlignment="1">
      <alignment vertical="center" wrapText="1"/>
    </xf>
    <xf numFmtId="0" fontId="23" fillId="0" borderId="62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24" fillId="0" borderId="62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17" fillId="0" borderId="0" xfId="0" applyFont="1" applyAlignment="1">
      <alignment vertical="top" shrinkToFit="1"/>
    </xf>
    <xf numFmtId="0" fontId="26" fillId="0" borderId="0" xfId="0" applyFont="1" applyAlignment="1">
      <alignment vertical="top" shrinkToFit="1"/>
    </xf>
    <xf numFmtId="0" fontId="26" fillId="0" borderId="62" xfId="0" applyFont="1" applyBorder="1" applyAlignment="1">
      <alignment vertical="center" shrinkToFit="1"/>
    </xf>
    <xf numFmtId="0" fontId="0" fillId="3" borderId="67" xfId="0" applyFont="1" applyFill="1" applyBorder="1" applyAlignment="1">
      <alignment horizontal="center" vertical="top"/>
    </xf>
    <xf numFmtId="0" fontId="23" fillId="0" borderId="68" xfId="0" applyFont="1" applyBorder="1" applyAlignment="1">
      <alignment horizontal="left" vertical="center"/>
    </xf>
    <xf numFmtId="0" fontId="0" fillId="3" borderId="6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/>
    </xf>
    <xf numFmtId="0" fontId="1" fillId="3" borderId="69" xfId="0" applyFont="1" applyFill="1" applyBorder="1" applyAlignment="1" quotePrefix="1">
      <alignment horizontal="center" vertical="center"/>
    </xf>
    <xf numFmtId="0" fontId="1" fillId="4" borderId="69" xfId="0" applyFont="1" applyFill="1" applyBorder="1" applyAlignment="1" quotePrefix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25" fillId="0" borderId="52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" fontId="33" fillId="0" borderId="70" xfId="0" applyNumberFormat="1" applyFont="1" applyFill="1" applyBorder="1" applyAlignment="1">
      <alignment horizontal="center" vertical="center"/>
    </xf>
    <xf numFmtId="1" fontId="33" fillId="0" borderId="7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5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72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3" borderId="51" xfId="0" applyFont="1" applyFill="1" applyBorder="1" applyAlignment="1">
      <alignment horizontal="center" vertical="top"/>
    </xf>
    <xf numFmtId="0" fontId="11" fillId="4" borderId="18" xfId="0" applyFont="1" applyFill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9" xfId="0" applyFont="1" applyFill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4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7" fillId="0" borderId="2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43" fillId="0" borderId="0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23" fillId="0" borderId="0" xfId="0" applyFont="1" applyBorder="1" applyAlignment="1" quotePrefix="1">
      <alignment vertical="top"/>
    </xf>
    <xf numFmtId="0" fontId="0" fillId="0" borderId="73" xfId="0" applyBorder="1" applyAlignment="1">
      <alignment vertical="top"/>
    </xf>
    <xf numFmtId="0" fontId="31" fillId="0" borderId="56" xfId="0" applyFont="1" applyBorder="1" applyAlignment="1">
      <alignment horizontal="center" vertical="top"/>
    </xf>
    <xf numFmtId="0" fontId="23" fillId="0" borderId="5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25" fillId="0" borderId="8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8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29" fillId="0" borderId="0" xfId="0" applyFont="1" applyAlignment="1">
      <alignment vertical="top"/>
    </xf>
    <xf numFmtId="0" fontId="23" fillId="0" borderId="0" xfId="0" applyFont="1" applyAlignment="1" quotePrefix="1">
      <alignment vertical="top"/>
    </xf>
    <xf numFmtId="0" fontId="2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21" fillId="4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23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9" fillId="0" borderId="0" xfId="15" applyBorder="1" applyAlignment="1">
      <alignment vertical="center"/>
    </xf>
    <xf numFmtId="1" fontId="33" fillId="0" borderId="74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1" fontId="33" fillId="0" borderId="7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horizontal="left" wrapText="1"/>
    </xf>
    <xf numFmtId="0" fontId="0" fillId="0" borderId="18" xfId="0" applyFont="1" applyBorder="1" applyAlignment="1">
      <alignment vertical="center" wrapText="1"/>
    </xf>
    <xf numFmtId="0" fontId="36" fillId="0" borderId="67" xfId="0" applyFont="1" applyFill="1" applyBorder="1" applyAlignment="1">
      <alignment vertical="top" wrapText="1"/>
    </xf>
    <xf numFmtId="0" fontId="36" fillId="0" borderId="17" xfId="0" applyFont="1" applyBorder="1" applyAlignment="1">
      <alignment wrapText="1"/>
    </xf>
    <xf numFmtId="0" fontId="36" fillId="0" borderId="17" xfId="0" applyFont="1" applyFill="1" applyBorder="1" applyAlignment="1">
      <alignment vertical="top" wrapText="1"/>
    </xf>
    <xf numFmtId="0" fontId="0" fillId="0" borderId="54" xfId="0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7" fillId="0" borderId="18" xfId="0" applyFont="1" applyBorder="1" applyAlignment="1">
      <alignment horizontal="left" vertical="top" wrapText="1" indent="2"/>
    </xf>
    <xf numFmtId="0" fontId="36" fillId="0" borderId="0" xfId="0" applyFont="1" applyBorder="1" applyAlignment="1">
      <alignment vertical="top" wrapText="1"/>
    </xf>
    <xf numFmtId="0" fontId="0" fillId="3" borderId="5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3" borderId="52" xfId="0" applyFont="1" applyFill="1" applyBorder="1" applyAlignment="1" quotePrefix="1">
      <alignment horizontal="center" vertical="top"/>
    </xf>
    <xf numFmtId="0" fontId="37" fillId="0" borderId="67" xfId="0" applyFont="1" applyBorder="1" applyAlignment="1">
      <alignment horizontal="left" vertical="top" wrapText="1" indent="2"/>
    </xf>
    <xf numFmtId="9" fontId="37" fillId="0" borderId="67" xfId="0" applyNumberFormat="1" applyFont="1" applyBorder="1" applyAlignment="1">
      <alignment horizontal="left" vertical="top" wrapText="1" indent="2"/>
    </xf>
    <xf numFmtId="0" fontId="53" fillId="0" borderId="67" xfId="0" applyFont="1" applyBorder="1" applyAlignment="1">
      <alignment horizontal="left" vertical="top" wrapText="1" indent="2"/>
    </xf>
    <xf numFmtId="10" fontId="37" fillId="0" borderId="67" xfId="0" applyNumberFormat="1" applyFont="1" applyBorder="1" applyAlignment="1">
      <alignment horizontal="left" vertical="top" wrapText="1" indent="2"/>
    </xf>
    <xf numFmtId="0" fontId="1" fillId="3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30" xfId="0" applyFont="1" applyBorder="1" applyAlignment="1">
      <alignment/>
    </xf>
    <xf numFmtId="0" fontId="43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top" indent="1"/>
    </xf>
    <xf numFmtId="0" fontId="55" fillId="0" borderId="18" xfId="0" applyFont="1" applyBorder="1" applyAlignment="1">
      <alignment horizontal="left" vertical="top" wrapText="1" indent="2"/>
    </xf>
    <xf numFmtId="0" fontId="56" fillId="0" borderId="18" xfId="0" applyFont="1" applyBorder="1" applyAlignment="1">
      <alignment horizontal="left" vertical="top" wrapText="1" indent="2"/>
    </xf>
    <xf numFmtId="0" fontId="0" fillId="0" borderId="0" xfId="0" applyFont="1" applyFill="1" applyBorder="1" applyAlignment="1">
      <alignment horizontal="center" vertical="top"/>
    </xf>
    <xf numFmtId="0" fontId="36" fillId="0" borderId="17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 vertical="top"/>
    </xf>
    <xf numFmtId="0" fontId="11" fillId="0" borderId="18" xfId="0" applyFont="1" applyBorder="1" applyAlignment="1">
      <alignment/>
    </xf>
    <xf numFmtId="0" fontId="42" fillId="0" borderId="63" xfId="0" applyFont="1" applyBorder="1" applyAlignment="1">
      <alignment horizontal="left" vertical="center"/>
    </xf>
    <xf numFmtId="0" fontId="42" fillId="0" borderId="6" xfId="0" applyFont="1" applyBorder="1" applyAlignment="1">
      <alignment vertical="center" wrapText="1"/>
    </xf>
    <xf numFmtId="0" fontId="46" fillId="0" borderId="65" xfId="0" applyFont="1" applyBorder="1" applyAlignment="1">
      <alignment horizontal="left" vertical="center"/>
    </xf>
    <xf numFmtId="0" fontId="46" fillId="0" borderId="56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vertical="top"/>
    </xf>
    <xf numFmtId="0" fontId="0" fillId="0" borderId="12" xfId="0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4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0" fontId="5" fillId="0" borderId="6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/>
    </xf>
    <xf numFmtId="0" fontId="5" fillId="0" borderId="52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2" borderId="2" xfId="0" applyFont="1" applyFill="1" applyBorder="1" applyAlignment="1">
      <alignment textRotation="90"/>
    </xf>
    <xf numFmtId="0" fontId="60" fillId="2" borderId="2" xfId="0" applyFont="1" applyFill="1" applyBorder="1" applyAlignment="1">
      <alignment vertical="center" textRotation="90"/>
    </xf>
    <xf numFmtId="0" fontId="60" fillId="2" borderId="3" xfId="0" applyFont="1" applyFill="1" applyBorder="1" applyAlignment="1">
      <alignment horizontal="center" vertical="center"/>
    </xf>
    <xf numFmtId="0" fontId="60" fillId="2" borderId="3" xfId="0" applyFont="1" applyFill="1" applyBorder="1" applyAlignment="1">
      <alignment textRotation="90"/>
    </xf>
    <xf numFmtId="0" fontId="60" fillId="2" borderId="52" xfId="0" applyFont="1" applyFill="1" applyBorder="1" applyAlignment="1">
      <alignment horizontal="center" vertical="center"/>
    </xf>
    <xf numFmtId="0" fontId="25" fillId="0" borderId="3" xfId="0" applyFont="1" applyBorder="1" applyAlignment="1">
      <alignment wrapText="1"/>
    </xf>
    <xf numFmtId="0" fontId="26" fillId="0" borderId="0" xfId="0" applyFont="1" applyAlignment="1">
      <alignment vertical="top" wrapText="1" shrinkToFit="1"/>
    </xf>
    <xf numFmtId="0" fontId="61" fillId="0" borderId="0" xfId="0" applyFont="1" applyAlignment="1">
      <alignment vertical="top" wrapText="1" shrinkToFit="1"/>
    </xf>
    <xf numFmtId="0" fontId="62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37" fillId="0" borderId="67" xfId="0" applyFont="1" applyBorder="1" applyAlignment="1">
      <alignment horizontal="left" vertical="top" wrapText="1"/>
    </xf>
    <xf numFmtId="0" fontId="24" fillId="0" borderId="60" xfId="0" applyFont="1" applyBorder="1" applyAlignment="1">
      <alignment vertical="center" wrapText="1"/>
    </xf>
    <xf numFmtId="0" fontId="4" fillId="0" borderId="60" xfId="0" applyFont="1" applyBorder="1" applyAlignment="1">
      <alignment/>
    </xf>
    <xf numFmtId="0" fontId="0" fillId="0" borderId="76" xfId="0" applyBorder="1" applyAlignment="1">
      <alignment vertical="top"/>
    </xf>
    <xf numFmtId="0" fontId="31" fillId="0" borderId="77" xfId="0" applyFont="1" applyBorder="1" applyAlignment="1">
      <alignment horizontal="center" vertical="top"/>
    </xf>
    <xf numFmtId="0" fontId="23" fillId="0" borderId="77" xfId="0" applyFont="1" applyBorder="1" applyAlignment="1">
      <alignment vertical="top"/>
    </xf>
    <xf numFmtId="0" fontId="31" fillId="0" borderId="60" xfId="0" applyFont="1" applyBorder="1" applyAlignment="1">
      <alignment horizontal="center" vertical="top"/>
    </xf>
    <xf numFmtId="0" fontId="23" fillId="0" borderId="60" xfId="0" applyFont="1" applyBorder="1" applyAlignment="1">
      <alignment vertical="top"/>
    </xf>
    <xf numFmtId="0" fontId="4" fillId="0" borderId="60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top" indent="1"/>
    </xf>
    <xf numFmtId="0" fontId="29" fillId="0" borderId="0" xfId="0" applyFont="1" applyBorder="1" applyAlignment="1">
      <alignment horizontal="left" vertical="top" indent="1"/>
    </xf>
    <xf numFmtId="0" fontId="36" fillId="0" borderId="78" xfId="0" applyFont="1" applyBorder="1" applyAlignment="1">
      <alignment horizontal="left" vertical="top" wrapText="1"/>
    </xf>
    <xf numFmtId="0" fontId="36" fillId="0" borderId="78" xfId="0" applyFont="1" applyBorder="1" applyAlignment="1">
      <alignment vertical="top" wrapText="1"/>
    </xf>
    <xf numFmtId="0" fontId="36" fillId="0" borderId="78" xfId="0" applyFont="1" applyBorder="1" applyAlignment="1">
      <alignment horizontal="left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10" fontId="37" fillId="0" borderId="19" xfId="0" applyNumberFormat="1" applyFont="1" applyBorder="1" applyAlignment="1">
      <alignment vertical="top"/>
    </xf>
    <xf numFmtId="0" fontId="37" fillId="0" borderId="69" xfId="0" applyFont="1" applyBorder="1" applyAlignment="1">
      <alignment vertical="center"/>
    </xf>
    <xf numFmtId="0" fontId="37" fillId="0" borderId="19" xfId="0" applyFont="1" applyBorder="1" applyAlignment="1">
      <alignment vertical="top"/>
    </xf>
    <xf numFmtId="0" fontId="25" fillId="0" borderId="17" xfId="0" applyFont="1" applyBorder="1" applyAlignment="1">
      <alignment horizontal="left" vertical="top" wrapText="1"/>
    </xf>
    <xf numFmtId="0" fontId="55" fillId="0" borderId="3" xfId="0" applyFont="1" applyBorder="1" applyAlignment="1">
      <alignment wrapText="1"/>
    </xf>
    <xf numFmtId="0" fontId="5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0" fontId="1" fillId="5" borderId="79" xfId="0" applyNumberFormat="1" applyFont="1" applyFill="1" applyBorder="1" applyAlignment="1">
      <alignment/>
    </xf>
    <xf numFmtId="0" fontId="0" fillId="5" borderId="80" xfId="0" applyFill="1" applyBorder="1" applyAlignment="1">
      <alignment/>
    </xf>
    <xf numFmtId="0" fontId="0" fillId="5" borderId="0" xfId="0" applyFill="1" applyAlignment="1">
      <alignment/>
    </xf>
    <xf numFmtId="0" fontId="5" fillId="5" borderId="0" xfId="0" applyNumberFormat="1" applyFont="1" applyFill="1" applyAlignment="1">
      <alignment/>
    </xf>
    <xf numFmtId="0" fontId="5" fillId="5" borderId="0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5" fillId="5" borderId="0" xfId="0" applyNumberFormat="1" applyFont="1" applyFill="1" applyAlignment="1">
      <alignment horizontal="left"/>
    </xf>
    <xf numFmtId="0" fontId="0" fillId="5" borderId="0" xfId="0" applyFill="1" applyBorder="1" applyAlignment="1">
      <alignment horizontal="center"/>
    </xf>
    <xf numFmtId="0" fontId="5" fillId="5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0" fillId="5" borderId="81" xfId="0" applyFill="1" applyBorder="1" applyAlignment="1">
      <alignment horizontal="center"/>
    </xf>
    <xf numFmtId="0" fontId="6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24" fillId="0" borderId="6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vertical="top"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82" xfId="0" applyBorder="1" applyAlignment="1">
      <alignment horizontal="center"/>
    </xf>
    <xf numFmtId="0" fontId="1" fillId="3" borderId="83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/>
    </xf>
    <xf numFmtId="0" fontId="1" fillId="3" borderId="84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1" fillId="4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9" fillId="2" borderId="83" xfId="0" applyFont="1" applyFill="1" applyBorder="1" applyAlignment="1" quotePrefix="1">
      <alignment horizontal="center" textRotation="90"/>
    </xf>
    <xf numFmtId="0" fontId="40" fillId="2" borderId="3" xfId="0" applyFont="1" applyFill="1" applyBorder="1" applyAlignment="1">
      <alignment horizontal="center"/>
    </xf>
    <xf numFmtId="0" fontId="40" fillId="2" borderId="8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4" borderId="85" xfId="0" applyFont="1" applyFill="1" applyBorder="1" applyAlignment="1">
      <alignment horizontal="center"/>
    </xf>
    <xf numFmtId="0" fontId="52" fillId="0" borderId="18" xfId="0" applyFont="1" applyBorder="1" applyAlignment="1">
      <alignment horizontal="left" vertical="top" wrapText="1" indent="1"/>
    </xf>
    <xf numFmtId="0" fontId="25" fillId="0" borderId="18" xfId="0" applyFont="1" applyBorder="1" applyAlignment="1">
      <alignment horizontal="left" vertical="top" wrapText="1" indent="1"/>
    </xf>
    <xf numFmtId="0" fontId="23" fillId="0" borderId="54" xfId="0" applyFont="1" applyBorder="1" applyAlignment="1">
      <alignment horizontal="center" vertical="top"/>
    </xf>
    <xf numFmtId="0" fontId="0" fillId="0" borderId="54" xfId="0" applyBorder="1" applyAlignment="1">
      <alignment/>
    </xf>
    <xf numFmtId="0" fontId="2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61" fillId="0" borderId="0" xfId="0" applyFont="1" applyAlignment="1">
      <alignment vertical="top" wrapText="1" shrinkToFit="1"/>
    </xf>
    <xf numFmtId="0" fontId="26" fillId="0" borderId="0" xfId="0" applyFont="1" applyAlignment="1">
      <alignment vertical="top" wrapText="1" shrinkToFit="1"/>
    </xf>
    <xf numFmtId="0" fontId="0" fillId="0" borderId="0" xfId="0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5" xfId="0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2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2" borderId="83" xfId="0" applyFont="1" applyFill="1" applyBorder="1" applyAlignment="1">
      <alignment horizontal="center" textRotation="90"/>
    </xf>
    <xf numFmtId="0" fontId="11" fillId="0" borderId="3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7" fillId="0" borderId="0" xfId="0" applyFont="1" applyAlignment="1">
      <alignment vertical="top" wrapText="1" shrinkToFit="1"/>
    </xf>
    <xf numFmtId="0" fontId="20" fillId="0" borderId="24" xfId="0" applyFont="1" applyBorder="1" applyAlignment="1">
      <alignment horizontal="left" textRotation="90"/>
    </xf>
    <xf numFmtId="0" fontId="0" fillId="0" borderId="0" xfId="0" applyBorder="1" applyAlignment="1">
      <alignment horizontal="left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/>
    </xf>
    <xf numFmtId="0" fontId="0" fillId="0" borderId="55" xfId="0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0" fillId="3" borderId="83" xfId="0" applyFont="1" applyFill="1" applyBorder="1" applyAlignment="1">
      <alignment horizontal="center" textRotation="90"/>
    </xf>
    <xf numFmtId="0" fontId="0" fillId="0" borderId="3" xfId="0" applyFont="1" applyBorder="1" applyAlignment="1">
      <alignment horizontal="center"/>
    </xf>
    <xf numFmtId="0" fontId="0" fillId="4" borderId="15" xfId="0" applyFont="1" applyFill="1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0" fillId="0" borderId="83" xfId="0" applyFont="1" applyBorder="1" applyAlignment="1">
      <alignment horizontal="center" textRotation="90"/>
    </xf>
    <xf numFmtId="0" fontId="59" fillId="0" borderId="0" xfId="0" applyNumberFormat="1" applyFont="1" applyAlignment="1">
      <alignment horizontal="left" textRotation="90"/>
    </xf>
    <xf numFmtId="0" fontId="0" fillId="0" borderId="0" xfId="0" applyAlignment="1">
      <alignment horizontal="left" textRotation="90"/>
    </xf>
    <xf numFmtId="0" fontId="36" fillId="0" borderId="0" xfId="0" applyFont="1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 textRotation="90"/>
    </xf>
    <xf numFmtId="0" fontId="1" fillId="3" borderId="86" xfId="0" applyFont="1" applyFill="1" applyBorder="1" applyAlignment="1">
      <alignment textRotation="90"/>
    </xf>
    <xf numFmtId="0" fontId="1" fillId="3" borderId="86" xfId="0" applyFont="1" applyFill="1" applyBorder="1" applyAlignment="1">
      <alignment/>
    </xf>
    <xf numFmtId="0" fontId="1" fillId="4" borderId="86" xfId="0" applyFont="1" applyFill="1" applyBorder="1" applyAlignment="1">
      <alignment textRotation="90"/>
    </xf>
    <xf numFmtId="0" fontId="1" fillId="4" borderId="86" xfId="0" applyFont="1" applyFill="1" applyBorder="1" applyAlignment="1">
      <alignment/>
    </xf>
    <xf numFmtId="0" fontId="5" fillId="0" borderId="86" xfId="0" applyFont="1" applyFill="1" applyBorder="1" applyAlignment="1">
      <alignment textRotation="90"/>
    </xf>
    <xf numFmtId="0" fontId="5" fillId="0" borderId="86" xfId="0" applyFont="1" applyFill="1" applyBorder="1" applyAlignment="1">
      <alignment/>
    </xf>
    <xf numFmtId="0" fontId="60" fillId="2" borderId="86" xfId="0" applyFont="1" applyFill="1" applyBorder="1" applyAlignment="1" quotePrefix="1">
      <alignment textRotation="90"/>
    </xf>
    <xf numFmtId="0" fontId="60" fillId="2" borderId="86" xfId="0" applyFont="1" applyFill="1" applyBorder="1" applyAlignment="1">
      <alignment textRotation="90"/>
    </xf>
    <xf numFmtId="0" fontId="1" fillId="2" borderId="86" xfId="0" applyFont="1" applyFill="1" applyBorder="1" applyAlignment="1">
      <alignment textRotation="90"/>
    </xf>
    <xf numFmtId="0" fontId="1" fillId="2" borderId="86" xfId="0" applyFont="1" applyFill="1" applyBorder="1" applyAlignment="1">
      <alignment/>
    </xf>
    <xf numFmtId="0" fontId="5" fillId="0" borderId="86" xfId="0" applyFont="1" applyBorder="1" applyAlignment="1" quotePrefix="1">
      <alignment textRotation="90"/>
    </xf>
    <xf numFmtId="0" fontId="5" fillId="0" borderId="86" xfId="0" applyFont="1" applyBorder="1" applyAlignment="1">
      <alignment textRotation="90"/>
    </xf>
    <xf numFmtId="0" fontId="23" fillId="0" borderId="54" xfId="0" applyFont="1" applyBorder="1" applyAlignment="1">
      <alignment vertical="top" wrapText="1"/>
    </xf>
    <xf numFmtId="0" fontId="0" fillId="0" borderId="54" xfId="0" applyBorder="1" applyAlignment="1">
      <alignment wrapText="1"/>
    </xf>
    <xf numFmtId="0" fontId="24" fillId="0" borderId="54" xfId="0" applyFont="1" applyBorder="1" applyAlignment="1">
      <alignment horizontal="center" vertical="center" wrapText="1"/>
    </xf>
    <xf numFmtId="0" fontId="32" fillId="0" borderId="54" xfId="0" applyFont="1" applyBorder="1" applyAlignment="1">
      <alignment vertical="center"/>
    </xf>
    <xf numFmtId="0" fontId="21" fillId="3" borderId="54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6.png" /><Relationship Id="rId6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9</xdr:row>
      <xdr:rowOff>200025</xdr:rowOff>
    </xdr:from>
    <xdr:to>
      <xdr:col>14</xdr:col>
      <xdr:colOff>257175</xdr:colOff>
      <xdr:row>11</xdr:row>
      <xdr:rowOff>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981200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9</xdr:row>
      <xdr:rowOff>142875</xdr:rowOff>
    </xdr:from>
    <xdr:to>
      <xdr:col>16</xdr:col>
      <xdr:colOff>257175</xdr:colOff>
      <xdr:row>11</xdr:row>
      <xdr:rowOff>0</xdr:rowOff>
    </xdr:to>
    <xdr:pic>
      <xdr:nvPicPr>
        <xdr:cNvPr id="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924050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7</xdr:row>
      <xdr:rowOff>57150</xdr:rowOff>
    </xdr:from>
    <xdr:to>
      <xdr:col>23</xdr:col>
      <xdr:colOff>257175</xdr:colOff>
      <xdr:row>11</xdr:row>
      <xdr:rowOff>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1400175"/>
          <a:ext cx="228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167</xdr:row>
      <xdr:rowOff>200025</xdr:rowOff>
    </xdr:from>
    <xdr:to>
      <xdr:col>14</xdr:col>
      <xdr:colOff>257175</xdr:colOff>
      <xdr:row>169</xdr:row>
      <xdr:rowOff>0</xdr:rowOff>
    </xdr:to>
    <xdr:pic>
      <xdr:nvPicPr>
        <xdr:cNvPr id="4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5688925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167</xdr:row>
      <xdr:rowOff>142875</xdr:rowOff>
    </xdr:from>
    <xdr:to>
      <xdr:col>16</xdr:col>
      <xdr:colOff>257175</xdr:colOff>
      <xdr:row>169</xdr:row>
      <xdr:rowOff>0</xdr:rowOff>
    </xdr:to>
    <xdr:pic>
      <xdr:nvPicPr>
        <xdr:cNvPr id="5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56317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165</xdr:row>
      <xdr:rowOff>57150</xdr:rowOff>
    </xdr:from>
    <xdr:to>
      <xdr:col>23</xdr:col>
      <xdr:colOff>257175</xdr:colOff>
      <xdr:row>169</xdr:row>
      <xdr:rowOff>0</xdr:rowOff>
    </xdr:to>
    <xdr:pic>
      <xdr:nvPicPr>
        <xdr:cNvPr id="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25107900"/>
          <a:ext cx="228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276</xdr:row>
      <xdr:rowOff>200025</xdr:rowOff>
    </xdr:from>
    <xdr:to>
      <xdr:col>14</xdr:col>
      <xdr:colOff>257175</xdr:colOff>
      <xdr:row>278</xdr:row>
      <xdr:rowOff>0</xdr:rowOff>
    </xdr:to>
    <xdr:pic>
      <xdr:nvPicPr>
        <xdr:cNvPr id="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1433750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276</xdr:row>
      <xdr:rowOff>142875</xdr:rowOff>
    </xdr:from>
    <xdr:to>
      <xdr:col>16</xdr:col>
      <xdr:colOff>257175</xdr:colOff>
      <xdr:row>278</xdr:row>
      <xdr:rowOff>0</xdr:rowOff>
    </xdr:to>
    <xdr:pic>
      <xdr:nvPicPr>
        <xdr:cNvPr id="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1376600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274</xdr:row>
      <xdr:rowOff>57150</xdr:rowOff>
    </xdr:from>
    <xdr:to>
      <xdr:col>23</xdr:col>
      <xdr:colOff>257175</xdr:colOff>
      <xdr:row>278</xdr:row>
      <xdr:rowOff>0</xdr:rowOff>
    </xdr:to>
    <xdr:pic>
      <xdr:nvPicPr>
        <xdr:cNvPr id="9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40852725"/>
          <a:ext cx="228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7</xdr:row>
      <xdr:rowOff>38100</xdr:rowOff>
    </xdr:from>
    <xdr:to>
      <xdr:col>18</xdr:col>
      <xdr:colOff>276225</xdr:colOff>
      <xdr:row>11</xdr:row>
      <xdr:rowOff>57150</xdr:rowOff>
    </xdr:to>
    <xdr:pic>
      <xdr:nvPicPr>
        <xdr:cNvPr id="10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81125"/>
          <a:ext cx="238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9</xdr:row>
      <xdr:rowOff>209550</xdr:rowOff>
    </xdr:from>
    <xdr:to>
      <xdr:col>21</xdr:col>
      <xdr:colOff>304800</xdr:colOff>
      <xdr:row>11</xdr:row>
      <xdr:rowOff>0</xdr:rowOff>
    </xdr:to>
    <xdr:pic>
      <xdr:nvPicPr>
        <xdr:cNvPr id="11" name="Picture 2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19907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165</xdr:row>
      <xdr:rowOff>38100</xdr:rowOff>
    </xdr:from>
    <xdr:to>
      <xdr:col>18</xdr:col>
      <xdr:colOff>276225</xdr:colOff>
      <xdr:row>169</xdr:row>
      <xdr:rowOff>57150</xdr:rowOff>
    </xdr:to>
    <xdr:pic>
      <xdr:nvPicPr>
        <xdr:cNvPr id="12" name="Picture 2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25088850"/>
          <a:ext cx="238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167</xdr:row>
      <xdr:rowOff>209550</xdr:rowOff>
    </xdr:from>
    <xdr:to>
      <xdr:col>21</xdr:col>
      <xdr:colOff>304800</xdr:colOff>
      <xdr:row>169</xdr:row>
      <xdr:rowOff>0</xdr:rowOff>
    </xdr:to>
    <xdr:pic>
      <xdr:nvPicPr>
        <xdr:cNvPr id="13" name="Picture 2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256984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274</xdr:row>
      <xdr:rowOff>38100</xdr:rowOff>
    </xdr:from>
    <xdr:to>
      <xdr:col>18</xdr:col>
      <xdr:colOff>276225</xdr:colOff>
      <xdr:row>278</xdr:row>
      <xdr:rowOff>57150</xdr:rowOff>
    </xdr:to>
    <xdr:pic>
      <xdr:nvPicPr>
        <xdr:cNvPr id="14" name="Picture 2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40833675"/>
          <a:ext cx="238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276</xdr:row>
      <xdr:rowOff>209550</xdr:rowOff>
    </xdr:from>
    <xdr:to>
      <xdr:col>21</xdr:col>
      <xdr:colOff>304800</xdr:colOff>
      <xdr:row>278</xdr:row>
      <xdr:rowOff>0</xdr:rowOff>
    </xdr:to>
    <xdr:pic>
      <xdr:nvPicPr>
        <xdr:cNvPr id="15" name="Picture 2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4144327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236</xdr:row>
      <xdr:rowOff>200025</xdr:rowOff>
    </xdr:from>
    <xdr:to>
      <xdr:col>14</xdr:col>
      <xdr:colOff>257175</xdr:colOff>
      <xdr:row>238</xdr:row>
      <xdr:rowOff>66675</xdr:rowOff>
    </xdr:to>
    <xdr:pic>
      <xdr:nvPicPr>
        <xdr:cNvPr id="1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5433000"/>
          <a:ext cx="190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236</xdr:row>
      <xdr:rowOff>142875</xdr:rowOff>
    </xdr:from>
    <xdr:to>
      <xdr:col>16</xdr:col>
      <xdr:colOff>257175</xdr:colOff>
      <xdr:row>238</xdr:row>
      <xdr:rowOff>66675</xdr:rowOff>
    </xdr:to>
    <xdr:pic>
      <xdr:nvPicPr>
        <xdr:cNvPr id="17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5375850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234</xdr:row>
      <xdr:rowOff>57150</xdr:rowOff>
    </xdr:from>
    <xdr:to>
      <xdr:col>23</xdr:col>
      <xdr:colOff>257175</xdr:colOff>
      <xdr:row>238</xdr:row>
      <xdr:rowOff>66675</xdr:rowOff>
    </xdr:to>
    <xdr:pic>
      <xdr:nvPicPr>
        <xdr:cNvPr id="18" name="Picture 6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34851975"/>
          <a:ext cx="228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234</xdr:row>
      <xdr:rowOff>38100</xdr:rowOff>
    </xdr:from>
    <xdr:to>
      <xdr:col>18</xdr:col>
      <xdr:colOff>276225</xdr:colOff>
      <xdr:row>238</xdr:row>
      <xdr:rowOff>123825</xdr:rowOff>
    </xdr:to>
    <xdr:pic>
      <xdr:nvPicPr>
        <xdr:cNvPr id="19" name="Picture 6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34832925"/>
          <a:ext cx="238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236</xdr:row>
      <xdr:rowOff>209550</xdr:rowOff>
    </xdr:from>
    <xdr:to>
      <xdr:col>21</xdr:col>
      <xdr:colOff>304800</xdr:colOff>
      <xdr:row>238</xdr:row>
      <xdr:rowOff>66675</xdr:rowOff>
    </xdr:to>
    <xdr:pic>
      <xdr:nvPicPr>
        <xdr:cNvPr id="20" name="Picture 6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354425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12</xdr:col>
      <xdr:colOff>400050</xdr:colOff>
      <xdr:row>30</xdr:row>
      <xdr:rowOff>647700</xdr:rowOff>
    </xdr:to>
    <xdr:pic>
      <xdr:nvPicPr>
        <xdr:cNvPr id="21" name="Picture 6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4371975"/>
          <a:ext cx="4086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AB493"/>
  <sheetViews>
    <sheetView showGridLines="0" showRowColHeaders="0" tabSelected="1" workbookViewId="0" topLeftCell="A1">
      <selection activeCell="B481" sqref="B481:Y481"/>
    </sheetView>
  </sheetViews>
  <sheetFormatPr defaultColWidth="11.421875" defaultRowHeight="12.75"/>
  <cols>
    <col min="1" max="1" width="3.140625" style="0" customWidth="1"/>
    <col min="2" max="2" width="0.85546875" style="0" customWidth="1"/>
    <col min="3" max="5" width="2.28125" style="0" customWidth="1"/>
    <col min="6" max="6" width="6.28125" style="0" customWidth="1"/>
    <col min="7" max="7" width="2.421875" style="0" customWidth="1"/>
    <col min="8" max="8" width="6.28125" style="0" customWidth="1"/>
    <col min="9" max="9" width="13.57421875" style="0" customWidth="1"/>
    <col min="10" max="10" width="3.28125" style="0" customWidth="1"/>
    <col min="11" max="11" width="15.00390625" style="0" customWidth="1"/>
    <col min="12" max="12" width="3.8515625" style="0" customWidth="1"/>
    <col min="13" max="13" width="13.7109375" style="0" customWidth="1"/>
    <col min="14" max="14" width="1.7109375" style="0" customWidth="1"/>
    <col min="15" max="15" width="4.7109375" style="0" customWidth="1"/>
    <col min="16" max="16" width="0.85546875" style="0" customWidth="1"/>
    <col min="17" max="17" width="4.7109375" style="0" customWidth="1"/>
    <col min="18" max="18" width="0.85546875" style="0" customWidth="1"/>
    <col min="19" max="19" width="4.28125" style="0" customWidth="1"/>
    <col min="20" max="21" width="0.85546875" style="0" customWidth="1"/>
    <col min="22" max="22" width="4.7109375" style="0" customWidth="1"/>
    <col min="23" max="23" width="0.85546875" style="0" customWidth="1"/>
    <col min="24" max="24" width="4.7109375" style="0" customWidth="1"/>
    <col min="25" max="26" width="0.85546875" style="0" customWidth="1"/>
    <col min="27" max="27" width="1.28515625" style="0" customWidth="1"/>
  </cols>
  <sheetData>
    <row r="1" spans="2:25" s="14" customFormat="1" ht="20.25" customHeight="1">
      <c r="B1" s="544" t="s">
        <v>7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</row>
    <row r="2" spans="2:25" s="14" customFormat="1" ht="19.5" customHeight="1">
      <c r="B2" s="525" t="s">
        <v>156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</row>
    <row r="3" spans="2:25" s="14" customFormat="1" ht="14.25" customHeight="1">
      <c r="B3" s="446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</row>
    <row r="4" spans="3:5" s="14" customFormat="1" ht="12" customHeight="1">
      <c r="C4" s="38" t="s">
        <v>4</v>
      </c>
      <c r="D4" s="55"/>
      <c r="E4" s="82" t="s">
        <v>8</v>
      </c>
    </row>
    <row r="5" spans="3:5" s="14" customFormat="1" ht="12" customHeight="1">
      <c r="C5" s="38" t="s">
        <v>4</v>
      </c>
      <c r="D5" s="55"/>
      <c r="E5" s="82" t="s">
        <v>22</v>
      </c>
    </row>
    <row r="6" spans="3:5" s="14" customFormat="1" ht="12" customHeight="1">
      <c r="C6" s="38" t="s">
        <v>4</v>
      </c>
      <c r="D6" s="55"/>
      <c r="E6" s="82" t="s">
        <v>9</v>
      </c>
    </row>
    <row r="7" spans="4:5" ht="15.75" thickBot="1">
      <c r="D7" s="30"/>
      <c r="E7" s="31"/>
    </row>
    <row r="8" spans="2:28" ht="18.75" customHeight="1" thickBot="1">
      <c r="B8" s="83" t="s">
        <v>8</v>
      </c>
      <c r="C8" s="84"/>
      <c r="D8" s="32"/>
      <c r="E8" s="33"/>
      <c r="F8" s="34"/>
      <c r="G8" s="34"/>
      <c r="H8" s="34"/>
      <c r="I8" s="34"/>
      <c r="J8" s="34"/>
      <c r="K8" s="34"/>
      <c r="L8" s="34"/>
      <c r="M8" s="35"/>
      <c r="O8" s="85"/>
      <c r="P8" s="4"/>
      <c r="Q8" s="86"/>
      <c r="R8" s="87"/>
      <c r="S8" s="545"/>
      <c r="T8" s="88"/>
      <c r="U8" s="4"/>
      <c r="V8" s="89"/>
      <c r="W8" s="4"/>
      <c r="X8" s="90"/>
      <c r="Y8" s="4"/>
      <c r="Z8" s="4"/>
      <c r="AA8" s="4"/>
      <c r="AB8" s="4"/>
    </row>
    <row r="9" spans="3:28" ht="15.75" customHeight="1">
      <c r="C9" s="56"/>
      <c r="D9" s="30"/>
      <c r="E9" s="31"/>
      <c r="O9" s="91"/>
      <c r="P9" s="4"/>
      <c r="Q9" s="92"/>
      <c r="R9" s="4"/>
      <c r="S9" s="546"/>
      <c r="T9" s="93"/>
      <c r="U9" s="4"/>
      <c r="V9" s="94"/>
      <c r="W9" s="4"/>
      <c r="X9" s="95"/>
      <c r="Y9" s="4"/>
      <c r="Z9" s="4"/>
      <c r="AA9" s="4"/>
      <c r="AB9" s="4"/>
    </row>
    <row r="10" spans="15:28" ht="21" customHeight="1">
      <c r="O10" s="91"/>
      <c r="P10" s="4"/>
      <c r="Q10" s="92"/>
      <c r="R10" s="4"/>
      <c r="S10" s="546"/>
      <c r="T10" s="93"/>
      <c r="U10" s="4"/>
      <c r="V10" s="94"/>
      <c r="W10" s="4"/>
      <c r="X10" s="95"/>
      <c r="Y10" s="4"/>
      <c r="Z10" s="4"/>
      <c r="AA10" s="4"/>
      <c r="AB10" s="4"/>
    </row>
    <row r="11" spans="2:28" s="14" customFormat="1" ht="18">
      <c r="B11" s="96"/>
      <c r="C11" s="97"/>
      <c r="D11" s="98"/>
      <c r="E11" s="99"/>
      <c r="F11" s="100"/>
      <c r="G11" s="100"/>
      <c r="H11" s="100"/>
      <c r="I11" s="100"/>
      <c r="J11" s="100"/>
      <c r="K11" s="100"/>
      <c r="L11" s="100"/>
      <c r="M11" s="100"/>
      <c r="N11" s="68"/>
      <c r="O11" s="101"/>
      <c r="P11" s="68"/>
      <c r="Q11" s="102"/>
      <c r="R11" s="68"/>
      <c r="S11" s="546"/>
      <c r="T11" s="93"/>
      <c r="U11" s="68"/>
      <c r="V11" s="103"/>
      <c r="W11" s="68"/>
      <c r="X11" s="104"/>
      <c r="Y11" s="68"/>
      <c r="Z11" s="68"/>
      <c r="AA11" s="68"/>
      <c r="AB11" s="68"/>
    </row>
    <row r="12" spans="15:28" ht="13.5" customHeight="1" thickBot="1">
      <c r="O12" s="91"/>
      <c r="P12" s="4"/>
      <c r="Q12" s="92"/>
      <c r="R12" s="4"/>
      <c r="S12" s="4"/>
      <c r="T12" s="105"/>
      <c r="U12" s="4"/>
      <c r="V12" s="94"/>
      <c r="W12" s="4"/>
      <c r="X12" s="95"/>
      <c r="Y12" s="4"/>
      <c r="Z12" s="4"/>
      <c r="AA12" s="4"/>
      <c r="AB12" s="4"/>
    </row>
    <row r="13" spans="2:26" s="4" customFormat="1" ht="6.7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24"/>
      <c r="P13" s="23"/>
      <c r="Q13" s="133"/>
      <c r="R13" s="23"/>
      <c r="S13" s="23"/>
      <c r="T13" s="134"/>
      <c r="U13" s="23"/>
      <c r="V13" s="152"/>
      <c r="W13" s="23"/>
      <c r="X13" s="161"/>
      <c r="Y13" s="23"/>
      <c r="Z13" s="24"/>
    </row>
    <row r="14" spans="2:26" ht="18" customHeight="1" thickBot="1">
      <c r="B14" s="25"/>
      <c r="C14" s="528" t="s">
        <v>232</v>
      </c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111"/>
      <c r="O14" s="130"/>
      <c r="P14" s="111"/>
      <c r="Q14" s="145"/>
      <c r="R14" s="4"/>
      <c r="S14" s="151"/>
      <c r="T14" s="146"/>
      <c r="U14" s="111"/>
      <c r="V14" s="158"/>
      <c r="W14" s="111"/>
      <c r="X14" s="167"/>
      <c r="Y14" s="4"/>
      <c r="Z14" s="26"/>
    </row>
    <row r="15" spans="2:26" ht="8.25" customHeight="1">
      <c r="B15" s="25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111"/>
      <c r="O15" s="130"/>
      <c r="P15" s="111"/>
      <c r="Q15" s="145"/>
      <c r="R15" s="4"/>
      <c r="S15" s="118"/>
      <c r="T15" s="146"/>
      <c r="U15" s="111"/>
      <c r="V15" s="158"/>
      <c r="W15" s="111"/>
      <c r="X15" s="167"/>
      <c r="Y15" s="4"/>
      <c r="Z15" s="26"/>
    </row>
    <row r="16" spans="2:26" ht="18" customHeight="1">
      <c r="B16" s="25"/>
      <c r="C16" s="234" t="s">
        <v>233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11"/>
      <c r="O16" s="130"/>
      <c r="P16" s="111"/>
      <c r="Q16" s="145"/>
      <c r="R16" s="4"/>
      <c r="S16" s="118"/>
      <c r="T16" s="146"/>
      <c r="U16" s="111"/>
      <c r="V16" s="158"/>
      <c r="W16" s="111"/>
      <c r="X16" s="167"/>
      <c r="Y16" s="4"/>
      <c r="Z16" s="26"/>
    </row>
    <row r="17" spans="2:26" ht="15" customHeight="1">
      <c r="B17" s="25"/>
      <c r="C17" s="50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4"/>
      <c r="O17" s="91"/>
      <c r="P17" s="4"/>
      <c r="Q17" s="92"/>
      <c r="R17" s="4"/>
      <c r="S17" s="4"/>
      <c r="T17" s="105"/>
      <c r="U17" s="4"/>
      <c r="V17" s="94"/>
      <c r="W17" s="4"/>
      <c r="X17" s="95"/>
      <c r="Y17" s="4"/>
      <c r="Z17" s="26"/>
    </row>
    <row r="18" spans="2:26" ht="5.25" customHeight="1" thickBo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25"/>
      <c r="P18" s="28"/>
      <c r="Q18" s="135"/>
      <c r="R18" s="28"/>
      <c r="S18" s="28"/>
      <c r="T18" s="136"/>
      <c r="U18" s="28"/>
      <c r="V18" s="153"/>
      <c r="W18" s="28"/>
      <c r="X18" s="162"/>
      <c r="Y18" s="28"/>
      <c r="Z18" s="29"/>
    </row>
    <row r="19" spans="15:24" ht="9" customHeight="1" thickBot="1">
      <c r="O19" s="91"/>
      <c r="Q19" s="92"/>
      <c r="R19" s="4"/>
      <c r="S19" s="4"/>
      <c r="T19" s="105"/>
      <c r="V19" s="94"/>
      <c r="X19" s="95"/>
    </row>
    <row r="20" spans="2:26" ht="7.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4"/>
      <c r="P20" s="23"/>
      <c r="Q20" s="133"/>
      <c r="R20" s="23"/>
      <c r="S20" s="23"/>
      <c r="T20" s="134"/>
      <c r="U20" s="23"/>
      <c r="V20" s="152"/>
      <c r="W20" s="23"/>
      <c r="X20" s="161"/>
      <c r="Y20" s="23"/>
      <c r="Z20" s="24"/>
    </row>
    <row r="21" spans="2:26" ht="7.5" customHeight="1">
      <c r="B21" s="2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91"/>
      <c r="P21" s="4"/>
      <c r="Q21" s="92"/>
      <c r="R21" s="4"/>
      <c r="S21" s="4"/>
      <c r="T21" s="105"/>
      <c r="U21" s="4"/>
      <c r="V21" s="94"/>
      <c r="W21" s="4"/>
      <c r="X21" s="95"/>
      <c r="Y21" s="4"/>
      <c r="Z21" s="26"/>
    </row>
    <row r="22" spans="2:26" s="14" customFormat="1" ht="18" customHeight="1" thickBot="1">
      <c r="B22" s="112"/>
      <c r="C22" s="114" t="s">
        <v>42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29"/>
      <c r="P22" s="115"/>
      <c r="Q22" s="143"/>
      <c r="R22" s="115"/>
      <c r="S22" s="151"/>
      <c r="T22" s="144"/>
      <c r="U22" s="115"/>
      <c r="V22" s="157"/>
      <c r="W22" s="115"/>
      <c r="X22" s="166"/>
      <c r="Y22" s="115"/>
      <c r="Z22" s="116"/>
    </row>
    <row r="23" spans="2:26" ht="12.75">
      <c r="B23" s="25"/>
      <c r="C23" s="108"/>
      <c r="D23" s="201" t="s">
        <v>43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28"/>
      <c r="P23" s="109"/>
      <c r="Q23" s="141"/>
      <c r="R23" s="109"/>
      <c r="S23" s="58"/>
      <c r="T23" s="142"/>
      <c r="U23" s="109"/>
      <c r="V23" s="156"/>
      <c r="W23" s="109"/>
      <c r="X23" s="165"/>
      <c r="Y23" s="109"/>
      <c r="Z23" s="26"/>
    </row>
    <row r="24" spans="2:26" ht="12.75">
      <c r="B24" s="25"/>
      <c r="C24" s="108"/>
      <c r="D24" s="201" t="s">
        <v>44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28"/>
      <c r="P24" s="109"/>
      <c r="Q24" s="141"/>
      <c r="R24" s="109"/>
      <c r="S24" s="58"/>
      <c r="T24" s="142"/>
      <c r="U24" s="109"/>
      <c r="V24" s="156"/>
      <c r="W24" s="109"/>
      <c r="X24" s="165"/>
      <c r="Y24" s="109"/>
      <c r="Z24" s="26"/>
    </row>
    <row r="25" spans="2:26" ht="12.75">
      <c r="B25" s="25"/>
      <c r="C25" s="108"/>
      <c r="D25" s="201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28"/>
      <c r="P25" s="109"/>
      <c r="Q25" s="141"/>
      <c r="R25" s="109"/>
      <c r="S25" s="58"/>
      <c r="T25" s="142"/>
      <c r="U25" s="109"/>
      <c r="V25" s="156"/>
      <c r="W25" s="109"/>
      <c r="X25" s="165"/>
      <c r="Y25" s="109"/>
      <c r="Z25" s="26"/>
    </row>
    <row r="26" spans="2:26" ht="12.75">
      <c r="B26" s="25"/>
      <c r="C26" s="108"/>
      <c r="D26" s="201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28"/>
      <c r="P26" s="109"/>
      <c r="Q26" s="141"/>
      <c r="R26" s="109"/>
      <c r="S26" s="58"/>
      <c r="T26" s="142"/>
      <c r="U26" s="109"/>
      <c r="V26" s="156"/>
      <c r="W26" s="109"/>
      <c r="X26" s="165"/>
      <c r="Y26" s="109"/>
      <c r="Z26" s="26"/>
    </row>
    <row r="27" spans="2:26" ht="12.75">
      <c r="B27" s="25"/>
      <c r="C27" s="108"/>
      <c r="D27" s="201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28"/>
      <c r="P27" s="109"/>
      <c r="Q27" s="141"/>
      <c r="R27" s="109"/>
      <c r="S27" s="58"/>
      <c r="T27" s="142"/>
      <c r="U27" s="109"/>
      <c r="V27" s="156"/>
      <c r="W27" s="109"/>
      <c r="X27" s="165"/>
      <c r="Y27" s="109"/>
      <c r="Z27" s="26"/>
    </row>
    <row r="28" spans="2:26" ht="12.75">
      <c r="B28" s="25"/>
      <c r="C28" s="108"/>
      <c r="D28" s="201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28"/>
      <c r="P28" s="109"/>
      <c r="Q28" s="141"/>
      <c r="R28" s="109"/>
      <c r="S28" s="58"/>
      <c r="T28" s="142"/>
      <c r="U28" s="109"/>
      <c r="V28" s="156"/>
      <c r="W28" s="109"/>
      <c r="X28" s="165"/>
      <c r="Y28" s="109"/>
      <c r="Z28" s="26"/>
    </row>
    <row r="29" spans="2:26" ht="12.75">
      <c r="B29" s="25"/>
      <c r="C29" s="108"/>
      <c r="D29" s="201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28"/>
      <c r="P29" s="109"/>
      <c r="Q29" s="141"/>
      <c r="R29" s="109"/>
      <c r="S29" s="58"/>
      <c r="T29" s="142"/>
      <c r="U29" s="109"/>
      <c r="V29" s="156"/>
      <c r="W29" s="109"/>
      <c r="X29" s="165"/>
      <c r="Y29" s="109"/>
      <c r="Z29" s="26"/>
    </row>
    <row r="30" spans="2:26" ht="12.75">
      <c r="B30" s="25"/>
      <c r="C30" s="108"/>
      <c r="D30" s="20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28"/>
      <c r="P30" s="109"/>
      <c r="Q30" s="141"/>
      <c r="R30" s="109"/>
      <c r="S30" s="58"/>
      <c r="T30" s="142"/>
      <c r="U30" s="109"/>
      <c r="V30" s="156"/>
      <c r="W30" s="109"/>
      <c r="X30" s="165"/>
      <c r="Y30" s="109"/>
      <c r="Z30" s="26"/>
    </row>
    <row r="31" spans="2:26" ht="60" customHeight="1">
      <c r="B31" s="25"/>
      <c r="C31" s="108"/>
      <c r="D31" s="201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28"/>
      <c r="P31" s="109"/>
      <c r="Q31" s="141"/>
      <c r="R31" s="109"/>
      <c r="S31" s="58"/>
      <c r="T31" s="142"/>
      <c r="U31" s="109"/>
      <c r="V31" s="156"/>
      <c r="W31" s="109"/>
      <c r="X31" s="165"/>
      <c r="Y31" s="109"/>
      <c r="Z31" s="26"/>
    </row>
    <row r="32" spans="2:26" ht="12.75">
      <c r="B32" s="25"/>
      <c r="C32" s="108" t="s">
        <v>45</v>
      </c>
      <c r="D32" s="201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28"/>
      <c r="P32" s="109"/>
      <c r="Q32" s="141"/>
      <c r="R32" s="109"/>
      <c r="S32" s="58"/>
      <c r="T32" s="142"/>
      <c r="U32" s="109"/>
      <c r="V32" s="156"/>
      <c r="W32" s="109"/>
      <c r="X32" s="165"/>
      <c r="Y32" s="109"/>
      <c r="Z32" s="26"/>
    </row>
    <row r="33" spans="2:26" ht="8.25" customHeight="1">
      <c r="B33" s="25"/>
      <c r="C33" s="108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28"/>
      <c r="P33" s="109"/>
      <c r="Q33" s="141"/>
      <c r="R33" s="109"/>
      <c r="S33" s="58"/>
      <c r="T33" s="142"/>
      <c r="U33" s="109"/>
      <c r="V33" s="156"/>
      <c r="W33" s="109"/>
      <c r="X33" s="165"/>
      <c r="Y33" s="109"/>
      <c r="Z33" s="26"/>
    </row>
    <row r="34" spans="2:26" ht="5.25" customHeight="1">
      <c r="B34" s="2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91"/>
      <c r="P34" s="4"/>
      <c r="Q34" s="92"/>
      <c r="R34" s="4"/>
      <c r="S34" s="4"/>
      <c r="T34" s="105"/>
      <c r="U34" s="4"/>
      <c r="V34" s="94"/>
      <c r="W34" s="4"/>
      <c r="X34" s="95"/>
      <c r="Y34" s="4"/>
      <c r="Z34" s="26"/>
    </row>
    <row r="35" spans="2:26" s="14" customFormat="1" ht="18" customHeight="1" thickBot="1">
      <c r="B35" s="112"/>
      <c r="C35" s="113" t="s">
        <v>4</v>
      </c>
      <c r="D35" s="114" t="s">
        <v>105</v>
      </c>
      <c r="E35" s="115"/>
      <c r="F35" s="115"/>
      <c r="G35" s="115"/>
      <c r="H35" s="115"/>
      <c r="I35" s="115"/>
      <c r="J35" s="115"/>
      <c r="K35" s="115"/>
      <c r="L35" s="115"/>
      <c r="M35" s="115"/>
      <c r="O35" s="129"/>
      <c r="P35" s="115"/>
      <c r="Q35" s="143"/>
      <c r="R35" s="115"/>
      <c r="S35" s="151"/>
      <c r="T35" s="144"/>
      <c r="U35" s="115"/>
      <c r="V35" s="157"/>
      <c r="W35" s="115"/>
      <c r="X35" s="166"/>
      <c r="Y35" s="115"/>
      <c r="Z35" s="116"/>
    </row>
    <row r="36" spans="2:26" ht="13.5" customHeight="1">
      <c r="B36" s="25"/>
      <c r="C36" s="4"/>
      <c r="D36" s="547" t="s">
        <v>235</v>
      </c>
      <c r="E36" s="548"/>
      <c r="F36" s="548"/>
      <c r="G36" s="548"/>
      <c r="H36" s="548"/>
      <c r="I36" s="548"/>
      <c r="J36" s="548"/>
      <c r="K36" s="548"/>
      <c r="L36" s="548"/>
      <c r="M36" s="548"/>
      <c r="N36" s="57"/>
      <c r="O36" s="127"/>
      <c r="P36" s="57"/>
      <c r="Q36" s="139"/>
      <c r="R36" s="57"/>
      <c r="S36" s="57"/>
      <c r="T36" s="140"/>
      <c r="U36" s="57"/>
      <c r="V36" s="155"/>
      <c r="W36" s="57"/>
      <c r="X36" s="164"/>
      <c r="Y36" s="4"/>
      <c r="Z36" s="26"/>
    </row>
    <row r="37" spans="2:26" ht="15" customHeight="1">
      <c r="B37" s="25"/>
      <c r="C37" s="4"/>
      <c r="D37" s="500"/>
      <c r="E37" s="80"/>
      <c r="F37" s="80"/>
      <c r="G37" s="80"/>
      <c r="H37" s="80"/>
      <c r="I37" s="80"/>
      <c r="J37" s="80"/>
      <c r="K37" s="80"/>
      <c r="L37" s="80"/>
      <c r="M37" s="80"/>
      <c r="N37" s="4"/>
      <c r="O37" s="91"/>
      <c r="P37" s="4"/>
      <c r="Q37" s="92"/>
      <c r="R37" s="4"/>
      <c r="S37" s="4"/>
      <c r="T37" s="105"/>
      <c r="U37" s="4"/>
      <c r="V37" s="94"/>
      <c r="W37" s="4"/>
      <c r="X37" s="95"/>
      <c r="Y37" s="4"/>
      <c r="Z37" s="26"/>
    </row>
    <row r="38" spans="2:26" ht="6" customHeight="1">
      <c r="B38" s="25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28"/>
      <c r="P38" s="109"/>
      <c r="Q38" s="141"/>
      <c r="R38" s="109"/>
      <c r="S38" s="109"/>
      <c r="T38" s="142"/>
      <c r="U38" s="109"/>
      <c r="V38" s="156"/>
      <c r="W38" s="109"/>
      <c r="X38" s="165"/>
      <c r="Y38" s="109"/>
      <c r="Z38" s="26"/>
    </row>
    <row r="39" spans="2:26" ht="8.25" customHeight="1">
      <c r="B39" s="25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28"/>
      <c r="P39" s="109"/>
      <c r="Q39" s="141"/>
      <c r="R39" s="109"/>
      <c r="S39" s="58"/>
      <c r="T39" s="142"/>
      <c r="U39" s="109"/>
      <c r="V39" s="156"/>
      <c r="W39" s="109"/>
      <c r="X39" s="165"/>
      <c r="Y39" s="109"/>
      <c r="Z39" s="26"/>
    </row>
    <row r="40" spans="2:26" ht="5.25" customHeight="1">
      <c r="B40" s="2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1"/>
      <c r="P40" s="4"/>
      <c r="Q40" s="92"/>
      <c r="R40" s="4"/>
      <c r="S40" s="4"/>
      <c r="T40" s="105"/>
      <c r="U40" s="4"/>
      <c r="V40" s="94"/>
      <c r="W40" s="4"/>
      <c r="X40" s="95"/>
      <c r="Y40" s="4"/>
      <c r="Z40" s="26"/>
    </row>
    <row r="41" spans="2:26" s="14" customFormat="1" ht="18" customHeight="1" thickBot="1">
      <c r="B41" s="112"/>
      <c r="C41" s="113" t="s">
        <v>4</v>
      </c>
      <c r="D41" s="114" t="s">
        <v>89</v>
      </c>
      <c r="E41" s="115"/>
      <c r="F41" s="115"/>
      <c r="G41" s="115"/>
      <c r="H41" s="115"/>
      <c r="I41" s="115"/>
      <c r="J41" s="115"/>
      <c r="K41" s="115"/>
      <c r="L41" s="115"/>
      <c r="M41" s="115"/>
      <c r="O41" s="129"/>
      <c r="P41" s="115"/>
      <c r="Q41" s="143"/>
      <c r="R41" s="115"/>
      <c r="S41" s="151"/>
      <c r="T41" s="144"/>
      <c r="U41" s="115"/>
      <c r="V41" s="157"/>
      <c r="W41" s="115"/>
      <c r="X41" s="166"/>
      <c r="Y41" s="115"/>
      <c r="Z41" s="116"/>
    </row>
    <row r="42" spans="2:26" ht="15" customHeight="1">
      <c r="B42" s="25"/>
      <c r="C42" s="4"/>
      <c r="D42" s="500"/>
      <c r="E42" s="80"/>
      <c r="F42" s="80"/>
      <c r="G42" s="80"/>
      <c r="H42" s="80"/>
      <c r="I42" s="80"/>
      <c r="J42" s="80"/>
      <c r="K42" s="80"/>
      <c r="L42" s="80"/>
      <c r="M42" s="80"/>
      <c r="N42" s="4"/>
      <c r="O42" s="91"/>
      <c r="P42" s="4"/>
      <c r="Q42" s="92"/>
      <c r="R42" s="4"/>
      <c r="S42" s="4"/>
      <c r="T42" s="105"/>
      <c r="U42" s="4"/>
      <c r="V42" s="94"/>
      <c r="W42" s="4"/>
      <c r="X42" s="95"/>
      <c r="Y42" s="4"/>
      <c r="Z42" s="26"/>
    </row>
    <row r="43" spans="2:26" ht="6" customHeight="1">
      <c r="B43" s="25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28"/>
      <c r="P43" s="109"/>
      <c r="Q43" s="141"/>
      <c r="R43" s="109"/>
      <c r="S43" s="109"/>
      <c r="T43" s="142"/>
      <c r="U43" s="109"/>
      <c r="V43" s="156"/>
      <c r="W43" s="109"/>
      <c r="X43" s="165"/>
      <c r="Y43" s="109"/>
      <c r="Z43" s="26"/>
    </row>
    <row r="44" spans="2:26" ht="8.25" customHeight="1">
      <c r="B44" s="25"/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28"/>
      <c r="P44" s="109"/>
      <c r="Q44" s="141"/>
      <c r="R44" s="109"/>
      <c r="S44" s="58"/>
      <c r="T44" s="142"/>
      <c r="U44" s="109"/>
      <c r="V44" s="156"/>
      <c r="W44" s="109"/>
      <c r="X44" s="165"/>
      <c r="Y44" s="109"/>
      <c r="Z44" s="26"/>
    </row>
    <row r="45" spans="2:26" ht="5.25" customHeight="1">
      <c r="B45" s="2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91"/>
      <c r="P45" s="4"/>
      <c r="Q45" s="92"/>
      <c r="R45" s="4"/>
      <c r="S45" s="4"/>
      <c r="T45" s="105"/>
      <c r="U45" s="4"/>
      <c r="V45" s="94"/>
      <c r="W45" s="4"/>
      <c r="X45" s="95"/>
      <c r="Y45" s="4"/>
      <c r="Z45" s="26"/>
    </row>
    <row r="46" spans="2:26" s="14" customFormat="1" ht="18" customHeight="1" thickBot="1">
      <c r="B46" s="112"/>
      <c r="C46" s="113" t="s">
        <v>4</v>
      </c>
      <c r="D46" s="114" t="s">
        <v>90</v>
      </c>
      <c r="E46" s="115"/>
      <c r="F46" s="115"/>
      <c r="G46" s="115"/>
      <c r="H46" s="115"/>
      <c r="I46" s="115"/>
      <c r="J46" s="115"/>
      <c r="K46" s="115"/>
      <c r="L46" s="115"/>
      <c r="M46" s="115"/>
      <c r="O46" s="129"/>
      <c r="P46" s="115"/>
      <c r="Q46" s="143"/>
      <c r="R46" s="115"/>
      <c r="S46" s="151"/>
      <c r="T46" s="144"/>
      <c r="U46" s="115"/>
      <c r="V46" s="157"/>
      <c r="W46" s="115"/>
      <c r="X46" s="166"/>
      <c r="Y46" s="115"/>
      <c r="Z46" s="116"/>
    </row>
    <row r="47" spans="2:26" ht="24" customHeight="1">
      <c r="B47" s="25"/>
      <c r="C47" s="4"/>
      <c r="D47" s="547" t="s">
        <v>236</v>
      </c>
      <c r="E47" s="548"/>
      <c r="F47" s="548"/>
      <c r="G47" s="548"/>
      <c r="H47" s="548"/>
      <c r="I47" s="548"/>
      <c r="J47" s="548"/>
      <c r="K47" s="548"/>
      <c r="L47" s="548"/>
      <c r="M47" s="548"/>
      <c r="N47" s="57"/>
      <c r="O47" s="127"/>
      <c r="P47" s="57"/>
      <c r="Q47" s="139"/>
      <c r="R47" s="57"/>
      <c r="S47" s="57"/>
      <c r="T47" s="140"/>
      <c r="U47" s="57"/>
      <c r="V47" s="155"/>
      <c r="W47" s="57"/>
      <c r="X47" s="164"/>
      <c r="Y47" s="4"/>
      <c r="Z47" s="26"/>
    </row>
    <row r="48" spans="2:26" ht="15" customHeight="1">
      <c r="B48" s="25"/>
      <c r="C48" s="4"/>
      <c r="D48" s="500"/>
      <c r="E48" s="80"/>
      <c r="F48" s="80"/>
      <c r="G48" s="80"/>
      <c r="H48" s="80"/>
      <c r="I48" s="80"/>
      <c r="J48" s="80"/>
      <c r="K48" s="80"/>
      <c r="L48" s="80"/>
      <c r="M48" s="80"/>
      <c r="N48" s="4"/>
      <c r="O48" s="91"/>
      <c r="P48" s="4"/>
      <c r="Q48" s="92"/>
      <c r="R48" s="4"/>
      <c r="S48" s="4"/>
      <c r="T48" s="105"/>
      <c r="U48" s="4"/>
      <c r="V48" s="94"/>
      <c r="W48" s="4"/>
      <c r="X48" s="95"/>
      <c r="Y48" s="4"/>
      <c r="Z48" s="26"/>
    </row>
    <row r="49" spans="2:26" ht="6" customHeight="1">
      <c r="B49" s="25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28"/>
      <c r="P49" s="109"/>
      <c r="Q49" s="141"/>
      <c r="R49" s="109"/>
      <c r="S49" s="109"/>
      <c r="T49" s="142"/>
      <c r="U49" s="109"/>
      <c r="V49" s="156"/>
      <c r="W49" s="109"/>
      <c r="X49" s="165"/>
      <c r="Y49" s="109"/>
      <c r="Z49" s="26"/>
    </row>
    <row r="50" spans="2:26" ht="8.25" customHeight="1">
      <c r="B50" s="25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28"/>
      <c r="P50" s="109"/>
      <c r="Q50" s="141"/>
      <c r="R50" s="109"/>
      <c r="S50" s="58"/>
      <c r="T50" s="142"/>
      <c r="U50" s="109"/>
      <c r="V50" s="156"/>
      <c r="W50" s="109"/>
      <c r="X50" s="165"/>
      <c r="Y50" s="109"/>
      <c r="Z50" s="26"/>
    </row>
    <row r="51" spans="2:26" ht="5.25" customHeight="1">
      <c r="B51" s="2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91"/>
      <c r="P51" s="4"/>
      <c r="Q51" s="92"/>
      <c r="R51" s="4"/>
      <c r="S51" s="4"/>
      <c r="T51" s="105"/>
      <c r="U51" s="4"/>
      <c r="V51" s="94"/>
      <c r="W51" s="4"/>
      <c r="X51" s="95"/>
      <c r="Y51" s="4"/>
      <c r="Z51" s="26"/>
    </row>
    <row r="52" spans="2:26" s="14" customFormat="1" ht="18" customHeight="1" thickBot="1">
      <c r="B52" s="112"/>
      <c r="C52" s="113" t="s">
        <v>4</v>
      </c>
      <c r="D52" s="114" t="s">
        <v>174</v>
      </c>
      <c r="E52" s="115"/>
      <c r="F52" s="115"/>
      <c r="G52" s="115"/>
      <c r="H52" s="115"/>
      <c r="I52" s="115"/>
      <c r="J52" s="115"/>
      <c r="K52" s="115"/>
      <c r="L52" s="115"/>
      <c r="M52" s="115"/>
      <c r="O52" s="129"/>
      <c r="P52" s="115"/>
      <c r="Q52" s="143"/>
      <c r="R52" s="115"/>
      <c r="S52" s="151"/>
      <c r="T52" s="144"/>
      <c r="U52" s="115"/>
      <c r="V52" s="157"/>
      <c r="W52" s="115"/>
      <c r="X52" s="166"/>
      <c r="Y52" s="115"/>
      <c r="Z52" s="116"/>
    </row>
    <row r="53" spans="2:26" ht="15" customHeight="1">
      <c r="B53" s="25"/>
      <c r="C53" s="4"/>
      <c r="D53" s="500"/>
      <c r="E53" s="80"/>
      <c r="F53" s="80"/>
      <c r="G53" s="80"/>
      <c r="H53" s="80"/>
      <c r="I53" s="80"/>
      <c r="J53" s="80"/>
      <c r="K53" s="80"/>
      <c r="L53" s="80"/>
      <c r="M53" s="80"/>
      <c r="N53" s="4"/>
      <c r="O53" s="91"/>
      <c r="P53" s="4"/>
      <c r="Q53" s="92"/>
      <c r="R53" s="4"/>
      <c r="S53" s="4"/>
      <c r="T53" s="105"/>
      <c r="U53" s="4"/>
      <c r="V53" s="94"/>
      <c r="W53" s="4"/>
      <c r="X53" s="95"/>
      <c r="Y53" s="4"/>
      <c r="Z53" s="26"/>
    </row>
    <row r="54" spans="2:26" ht="6" customHeight="1">
      <c r="B54" s="25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28"/>
      <c r="P54" s="109"/>
      <c r="Q54" s="141"/>
      <c r="R54" s="109"/>
      <c r="S54" s="109"/>
      <c r="T54" s="142"/>
      <c r="U54" s="109"/>
      <c r="V54" s="156"/>
      <c r="W54" s="109"/>
      <c r="X54" s="165"/>
      <c r="Y54" s="109"/>
      <c r="Z54" s="26"/>
    </row>
    <row r="55" spans="2:26" ht="5.25" customHeight="1">
      <c r="B55" s="2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91"/>
      <c r="P55" s="4"/>
      <c r="Q55" s="92"/>
      <c r="R55" s="4"/>
      <c r="S55" s="4"/>
      <c r="T55" s="105"/>
      <c r="U55" s="4"/>
      <c r="V55" s="94"/>
      <c r="W55" s="4"/>
      <c r="X55" s="95"/>
      <c r="Y55" s="4"/>
      <c r="Z55" s="26"/>
    </row>
    <row r="56" spans="2:26" ht="5.25" customHeight="1">
      <c r="B56" s="2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91"/>
      <c r="P56" s="4"/>
      <c r="Q56" s="92"/>
      <c r="R56" s="4"/>
      <c r="S56" s="4"/>
      <c r="T56" s="105"/>
      <c r="U56" s="4"/>
      <c r="V56" s="94"/>
      <c r="W56" s="4"/>
      <c r="X56" s="95"/>
      <c r="Y56" s="4"/>
      <c r="Z56" s="26"/>
    </row>
    <row r="57" spans="2:26" s="14" customFormat="1" ht="18" customHeight="1" thickBot="1">
      <c r="B57" s="112"/>
      <c r="C57" s="113" t="s">
        <v>4</v>
      </c>
      <c r="D57" s="114" t="s">
        <v>175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29"/>
      <c r="P57" s="115"/>
      <c r="Q57" s="143"/>
      <c r="R57" s="115"/>
      <c r="S57" s="151"/>
      <c r="T57" s="144"/>
      <c r="U57" s="115"/>
      <c r="V57" s="157"/>
      <c r="W57" s="115"/>
      <c r="X57" s="166"/>
      <c r="Y57" s="115"/>
      <c r="Z57" s="116"/>
    </row>
    <row r="58" spans="2:26" s="14" customFormat="1" ht="18" customHeight="1">
      <c r="B58" s="112"/>
      <c r="C58" s="113"/>
      <c r="D58" s="234" t="s">
        <v>237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29"/>
      <c r="P58" s="115"/>
      <c r="Q58" s="143"/>
      <c r="R58" s="115"/>
      <c r="S58" s="118"/>
      <c r="T58" s="144"/>
      <c r="U58" s="115"/>
      <c r="V58" s="157"/>
      <c r="W58" s="115"/>
      <c r="X58" s="166"/>
      <c r="Y58" s="115"/>
      <c r="Z58" s="116"/>
    </row>
    <row r="59" spans="2:26" ht="15" customHeight="1">
      <c r="B59" s="25"/>
      <c r="C59" s="4"/>
      <c r="D59" s="500"/>
      <c r="E59" s="80"/>
      <c r="F59" s="80"/>
      <c r="G59" s="80"/>
      <c r="H59" s="80"/>
      <c r="I59" s="80"/>
      <c r="J59" s="80"/>
      <c r="K59" s="80"/>
      <c r="L59" s="80"/>
      <c r="M59" s="80"/>
      <c r="N59" s="4"/>
      <c r="O59" s="91"/>
      <c r="P59" s="4"/>
      <c r="Q59" s="92"/>
      <c r="R59" s="4"/>
      <c r="S59" s="4"/>
      <c r="T59" s="105"/>
      <c r="U59" s="4"/>
      <c r="V59" s="94"/>
      <c r="W59" s="4"/>
      <c r="X59" s="95"/>
      <c r="Y59" s="4"/>
      <c r="Z59" s="26"/>
    </row>
    <row r="60" spans="2:26" ht="9" customHeight="1">
      <c r="B60" s="2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91"/>
      <c r="P60" s="4"/>
      <c r="Q60" s="92"/>
      <c r="R60" s="4"/>
      <c r="S60" s="4"/>
      <c r="T60" s="105"/>
      <c r="U60" s="4"/>
      <c r="V60" s="94"/>
      <c r="W60" s="4"/>
      <c r="X60" s="95"/>
      <c r="Y60" s="4"/>
      <c r="Z60" s="26"/>
    </row>
    <row r="61" spans="2:26" ht="8.25" customHeight="1">
      <c r="B61" s="25"/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28"/>
      <c r="P61" s="109"/>
      <c r="Q61" s="141"/>
      <c r="R61" s="109"/>
      <c r="S61" s="58"/>
      <c r="T61" s="142"/>
      <c r="U61" s="109"/>
      <c r="V61" s="156"/>
      <c r="W61" s="109"/>
      <c r="X61" s="165"/>
      <c r="Y61" s="109"/>
      <c r="Z61" s="26"/>
    </row>
    <row r="62" spans="2:26" ht="5.25" customHeight="1">
      <c r="B62" s="2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91"/>
      <c r="P62" s="4"/>
      <c r="Q62" s="92"/>
      <c r="R62" s="4"/>
      <c r="S62" s="4"/>
      <c r="T62" s="105"/>
      <c r="U62" s="4"/>
      <c r="V62" s="94"/>
      <c r="W62" s="4"/>
      <c r="X62" s="95"/>
      <c r="Y62" s="4"/>
      <c r="Z62" s="26"/>
    </row>
    <row r="63" spans="2:26" s="14" customFormat="1" ht="18" customHeight="1" thickBot="1">
      <c r="B63" s="112"/>
      <c r="C63" s="113" t="s">
        <v>4</v>
      </c>
      <c r="D63" s="114" t="s">
        <v>113</v>
      </c>
      <c r="E63" s="115"/>
      <c r="F63" s="115"/>
      <c r="G63" s="115"/>
      <c r="H63" s="115"/>
      <c r="I63" s="115"/>
      <c r="J63" s="115"/>
      <c r="K63" s="115"/>
      <c r="L63" s="115"/>
      <c r="M63" s="115"/>
      <c r="O63" s="129"/>
      <c r="P63" s="115"/>
      <c r="Q63" s="143"/>
      <c r="R63" s="115"/>
      <c r="S63" s="151"/>
      <c r="T63" s="144"/>
      <c r="U63" s="115"/>
      <c r="V63" s="157"/>
      <c r="W63" s="115"/>
      <c r="X63" s="166"/>
      <c r="Y63" s="115"/>
      <c r="Z63" s="116"/>
    </row>
    <row r="64" spans="2:26" ht="33.75" customHeight="1">
      <c r="B64" s="25"/>
      <c r="C64" s="4"/>
      <c r="D64" s="547" t="s">
        <v>238</v>
      </c>
      <c r="E64" s="548"/>
      <c r="F64" s="548"/>
      <c r="G64" s="548"/>
      <c r="H64" s="548"/>
      <c r="I64" s="548"/>
      <c r="J64" s="548"/>
      <c r="K64" s="548"/>
      <c r="L64" s="548"/>
      <c r="M64" s="548"/>
      <c r="N64" s="57"/>
      <c r="O64" s="127"/>
      <c r="P64" s="57"/>
      <c r="Q64" s="139"/>
      <c r="R64" s="57"/>
      <c r="S64" s="57"/>
      <c r="T64" s="140"/>
      <c r="U64" s="57"/>
      <c r="V64" s="155"/>
      <c r="W64" s="57"/>
      <c r="X64" s="164"/>
      <c r="Y64" s="4"/>
      <c r="Z64" s="26"/>
    </row>
    <row r="65" spans="2:26" ht="16.5" customHeight="1">
      <c r="B65" s="25"/>
      <c r="C65" s="4"/>
      <c r="D65" s="547" t="s">
        <v>239</v>
      </c>
      <c r="E65" s="533"/>
      <c r="F65" s="533"/>
      <c r="G65" s="533"/>
      <c r="H65" s="533"/>
      <c r="I65" s="533"/>
      <c r="J65" s="533"/>
      <c r="K65" s="533"/>
      <c r="L65" s="533"/>
      <c r="M65" s="533"/>
      <c r="N65" s="57"/>
      <c r="O65" s="127"/>
      <c r="P65" s="57"/>
      <c r="Q65" s="139"/>
      <c r="R65" s="57"/>
      <c r="S65" s="57"/>
      <c r="T65" s="140"/>
      <c r="U65" s="57"/>
      <c r="V65" s="155"/>
      <c r="W65" s="57"/>
      <c r="X65" s="164"/>
      <c r="Y65" s="4"/>
      <c r="Z65" s="26"/>
    </row>
    <row r="66" spans="2:26" ht="15" customHeight="1">
      <c r="B66" s="25"/>
      <c r="C66" s="4"/>
      <c r="D66" s="500"/>
      <c r="E66" s="80"/>
      <c r="F66" s="80"/>
      <c r="G66" s="80"/>
      <c r="H66" s="80"/>
      <c r="I66" s="80"/>
      <c r="J66" s="80"/>
      <c r="K66" s="80"/>
      <c r="L66" s="80"/>
      <c r="M66" s="80"/>
      <c r="N66" s="4"/>
      <c r="O66" s="91"/>
      <c r="P66" s="4"/>
      <c r="Q66" s="92"/>
      <c r="R66" s="4"/>
      <c r="S66" s="4"/>
      <c r="T66" s="105"/>
      <c r="U66" s="4"/>
      <c r="V66" s="94"/>
      <c r="W66" s="4"/>
      <c r="X66" s="95"/>
      <c r="Y66" s="4"/>
      <c r="Z66" s="26"/>
    </row>
    <row r="67" spans="2:26" ht="6" customHeight="1">
      <c r="B67" s="25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28"/>
      <c r="P67" s="109"/>
      <c r="Q67" s="141"/>
      <c r="R67" s="109"/>
      <c r="S67" s="109"/>
      <c r="T67" s="142"/>
      <c r="U67" s="109"/>
      <c r="V67" s="156"/>
      <c r="W67" s="109"/>
      <c r="X67" s="165"/>
      <c r="Y67" s="109"/>
      <c r="Z67" s="26"/>
    </row>
    <row r="68" spans="2:26" ht="5.25" customHeight="1" thickBo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125"/>
      <c r="P68" s="28"/>
      <c r="Q68" s="135"/>
      <c r="R68" s="28"/>
      <c r="S68" s="28"/>
      <c r="T68" s="136"/>
      <c r="U68" s="28"/>
      <c r="V68" s="153"/>
      <c r="W68" s="28"/>
      <c r="X68" s="162"/>
      <c r="Y68" s="28"/>
      <c r="Z68" s="29"/>
    </row>
    <row r="69" spans="15:24" ht="9" customHeight="1" thickBot="1">
      <c r="O69" s="91"/>
      <c r="Q69" s="92"/>
      <c r="R69" s="4"/>
      <c r="S69" s="4"/>
      <c r="T69" s="105"/>
      <c r="V69" s="94"/>
      <c r="X69" s="95"/>
    </row>
    <row r="70" spans="2:26" ht="6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24"/>
      <c r="P70" s="23"/>
      <c r="Q70" s="133"/>
      <c r="R70" s="23"/>
      <c r="S70" s="23"/>
      <c r="T70" s="134"/>
      <c r="U70" s="23"/>
      <c r="V70" s="152"/>
      <c r="W70" s="23"/>
      <c r="X70" s="161"/>
      <c r="Y70" s="23"/>
      <c r="Z70" s="24"/>
    </row>
    <row r="71" spans="2:26" ht="15" customHeight="1">
      <c r="B71" s="25"/>
      <c r="C71" s="108" t="s">
        <v>20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91"/>
      <c r="P71" s="4"/>
      <c r="Q71" s="92"/>
      <c r="R71" s="4"/>
      <c r="T71" s="105"/>
      <c r="U71" s="4"/>
      <c r="V71" s="94"/>
      <c r="W71" s="4"/>
      <c r="X71" s="95"/>
      <c r="Y71" s="4"/>
      <c r="Z71" s="26"/>
    </row>
    <row r="72" spans="2:26" ht="7.5" customHeight="1">
      <c r="B72" s="25"/>
      <c r="C72" s="5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91"/>
      <c r="P72" s="4"/>
      <c r="Q72" s="92"/>
      <c r="R72" s="4"/>
      <c r="S72" s="4"/>
      <c r="T72" s="105"/>
      <c r="U72" s="4"/>
      <c r="V72" s="94"/>
      <c r="W72" s="4"/>
      <c r="X72" s="95"/>
      <c r="Y72" s="4"/>
      <c r="Z72" s="26"/>
    </row>
    <row r="73" spans="2:26" ht="5.25" customHeight="1">
      <c r="B73" s="2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91"/>
      <c r="P73" s="4"/>
      <c r="Q73" s="92"/>
      <c r="R73" s="4"/>
      <c r="S73" s="4"/>
      <c r="T73" s="105"/>
      <c r="U73" s="4"/>
      <c r="V73" s="94"/>
      <c r="W73" s="4"/>
      <c r="X73" s="95"/>
      <c r="Y73" s="4"/>
      <c r="Z73" s="26"/>
    </row>
    <row r="74" spans="2:26" s="14" customFormat="1" ht="18" customHeight="1" thickBot="1">
      <c r="B74" s="112"/>
      <c r="C74" s="113" t="s">
        <v>4</v>
      </c>
      <c r="D74" s="114" t="s">
        <v>49</v>
      </c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31"/>
      <c r="P74" s="114"/>
      <c r="Q74" s="147"/>
      <c r="R74" s="114"/>
      <c r="S74" s="151"/>
      <c r="T74" s="148"/>
      <c r="U74" s="114"/>
      <c r="V74" s="159"/>
      <c r="W74" s="114"/>
      <c r="X74" s="168"/>
      <c r="Y74" s="114"/>
      <c r="Z74" s="116"/>
    </row>
    <row r="75" spans="2:26" ht="35.25" customHeight="1">
      <c r="B75" s="25"/>
      <c r="C75" s="57"/>
      <c r="D75" s="547" t="s">
        <v>50</v>
      </c>
      <c r="E75" s="533"/>
      <c r="F75" s="533"/>
      <c r="G75" s="533"/>
      <c r="H75" s="533"/>
      <c r="I75" s="533"/>
      <c r="J75" s="533"/>
      <c r="K75" s="533"/>
      <c r="L75" s="533"/>
      <c r="M75" s="533"/>
      <c r="N75" s="57"/>
      <c r="O75" s="127"/>
      <c r="P75" s="57"/>
      <c r="Q75" s="139"/>
      <c r="R75" s="57"/>
      <c r="S75" s="57"/>
      <c r="T75" s="140"/>
      <c r="U75" s="57"/>
      <c r="V75" s="155"/>
      <c r="W75" s="57"/>
      <c r="X75" s="164"/>
      <c r="Y75" s="4"/>
      <c r="Z75" s="26"/>
    </row>
    <row r="76" spans="2:26" ht="15" customHeight="1">
      <c r="B76" s="25"/>
      <c r="C76" s="4"/>
      <c r="D76" s="500"/>
      <c r="E76" s="80"/>
      <c r="F76" s="80"/>
      <c r="G76" s="80"/>
      <c r="H76" s="80"/>
      <c r="I76" s="80"/>
      <c r="J76" s="80"/>
      <c r="K76" s="80"/>
      <c r="L76" s="80"/>
      <c r="M76" s="80"/>
      <c r="N76" s="4"/>
      <c r="O76" s="91"/>
      <c r="P76" s="4"/>
      <c r="Q76" s="92"/>
      <c r="R76" s="4"/>
      <c r="S76" s="4"/>
      <c r="T76" s="105"/>
      <c r="U76" s="4"/>
      <c r="V76" s="94"/>
      <c r="W76" s="4"/>
      <c r="X76" s="95"/>
      <c r="Y76" s="4"/>
      <c r="Z76" s="26"/>
    </row>
    <row r="77" spans="2:26" ht="9" customHeight="1">
      <c r="B77" s="2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91"/>
      <c r="P77" s="4"/>
      <c r="Q77" s="92"/>
      <c r="R77" s="4"/>
      <c r="S77" s="4"/>
      <c r="T77" s="105"/>
      <c r="U77" s="4"/>
      <c r="V77" s="94"/>
      <c r="W77" s="4"/>
      <c r="X77" s="95"/>
      <c r="Y77" s="4"/>
      <c r="Z77" s="26"/>
    </row>
    <row r="78" spans="2:26" ht="6" customHeight="1">
      <c r="B78" s="2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91"/>
      <c r="P78" s="4"/>
      <c r="Q78" s="92"/>
      <c r="R78" s="4"/>
      <c r="S78" s="4"/>
      <c r="T78" s="105"/>
      <c r="U78" s="4"/>
      <c r="V78" s="94"/>
      <c r="W78" s="4"/>
      <c r="X78" s="95"/>
      <c r="Y78" s="4"/>
      <c r="Z78" s="26"/>
    </row>
    <row r="79" spans="2:26" ht="5.25" customHeight="1">
      <c r="B79" s="2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91"/>
      <c r="P79" s="4"/>
      <c r="Q79" s="92"/>
      <c r="R79" s="4"/>
      <c r="S79" s="4"/>
      <c r="T79" s="105"/>
      <c r="U79" s="4"/>
      <c r="V79" s="94"/>
      <c r="W79" s="4"/>
      <c r="X79" s="95"/>
      <c r="Y79" s="4"/>
      <c r="Z79" s="26"/>
    </row>
    <row r="80" spans="2:26" s="14" customFormat="1" ht="18" customHeight="1" thickBot="1">
      <c r="B80" s="112"/>
      <c r="C80" s="113" t="s">
        <v>4</v>
      </c>
      <c r="D80" s="114" t="s">
        <v>51</v>
      </c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31"/>
      <c r="P80" s="114"/>
      <c r="Q80" s="147"/>
      <c r="R80" s="114"/>
      <c r="S80" s="151"/>
      <c r="T80" s="148"/>
      <c r="U80" s="114"/>
      <c r="V80" s="159"/>
      <c r="W80" s="114"/>
      <c r="X80" s="168"/>
      <c r="Y80" s="114"/>
      <c r="Z80" s="116"/>
    </row>
    <row r="81" spans="2:26" ht="6.75" customHeight="1">
      <c r="B81" s="2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127"/>
      <c r="P81" s="57"/>
      <c r="Q81" s="139"/>
      <c r="R81" s="57"/>
      <c r="S81" s="57"/>
      <c r="T81" s="140"/>
      <c r="U81" s="57"/>
      <c r="V81" s="155"/>
      <c r="W81" s="57"/>
      <c r="X81" s="164"/>
      <c r="Y81" s="4"/>
      <c r="Z81" s="26"/>
    </row>
    <row r="82" spans="2:26" ht="15" customHeight="1">
      <c r="B82" s="25"/>
      <c r="C82" s="4"/>
      <c r="D82" s="500"/>
      <c r="E82" s="80"/>
      <c r="F82" s="80"/>
      <c r="G82" s="80"/>
      <c r="H82" s="80"/>
      <c r="I82" s="80"/>
      <c r="J82" s="80"/>
      <c r="K82" s="80"/>
      <c r="L82" s="80"/>
      <c r="M82" s="80"/>
      <c r="N82" s="4"/>
      <c r="O82" s="91"/>
      <c r="P82" s="4"/>
      <c r="Q82" s="92"/>
      <c r="R82" s="4"/>
      <c r="S82" s="4"/>
      <c r="T82" s="105"/>
      <c r="U82" s="4"/>
      <c r="V82" s="94"/>
      <c r="W82" s="4"/>
      <c r="X82" s="95"/>
      <c r="Y82" s="4"/>
      <c r="Z82" s="26"/>
    </row>
    <row r="83" spans="2:26" ht="9" customHeight="1">
      <c r="B83" s="2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91"/>
      <c r="P83" s="4"/>
      <c r="Q83" s="92"/>
      <c r="R83" s="4"/>
      <c r="S83" s="4"/>
      <c r="T83" s="105"/>
      <c r="U83" s="4"/>
      <c r="V83" s="94"/>
      <c r="W83" s="4"/>
      <c r="X83" s="95"/>
      <c r="Y83" s="4"/>
      <c r="Z83" s="26"/>
    </row>
    <row r="84" spans="2:26" ht="5.25" customHeight="1" thickBo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125"/>
      <c r="P84" s="28"/>
      <c r="Q84" s="135"/>
      <c r="R84" s="28"/>
      <c r="S84" s="28"/>
      <c r="T84" s="136"/>
      <c r="U84" s="28"/>
      <c r="V84" s="153"/>
      <c r="W84" s="28"/>
      <c r="X84" s="162"/>
      <c r="Y84" s="28"/>
      <c r="Z84" s="29"/>
    </row>
    <row r="85" spans="15:24" ht="9" customHeight="1" thickBot="1">
      <c r="O85" s="91"/>
      <c r="Q85" s="92"/>
      <c r="R85" s="4"/>
      <c r="S85" s="4"/>
      <c r="T85" s="105"/>
      <c r="V85" s="94"/>
      <c r="X85" s="95"/>
    </row>
    <row r="86" spans="2:26" s="4" customFormat="1" ht="6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124"/>
      <c r="P86" s="23"/>
      <c r="Q86" s="133"/>
      <c r="R86" s="23"/>
      <c r="S86" s="23"/>
      <c r="T86" s="134"/>
      <c r="U86" s="23"/>
      <c r="V86" s="152"/>
      <c r="W86" s="23"/>
      <c r="X86" s="161"/>
      <c r="Y86" s="23"/>
      <c r="Z86" s="24"/>
    </row>
    <row r="87" spans="2:26" ht="5.25" customHeight="1">
      <c r="B87" s="2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91"/>
      <c r="P87" s="4"/>
      <c r="Q87" s="92"/>
      <c r="R87" s="4"/>
      <c r="S87" s="4"/>
      <c r="T87" s="105"/>
      <c r="U87" s="4"/>
      <c r="V87" s="94"/>
      <c r="W87" s="4"/>
      <c r="X87" s="95"/>
      <c r="Y87" s="4"/>
      <c r="Z87" s="26"/>
    </row>
    <row r="88" spans="2:26" ht="18" customHeight="1" thickBot="1">
      <c r="B88" s="25"/>
      <c r="C88" s="106" t="s">
        <v>52</v>
      </c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26"/>
      <c r="P88" s="106"/>
      <c r="Q88" s="137"/>
      <c r="R88" s="106"/>
      <c r="S88" s="151"/>
      <c r="T88" s="138"/>
      <c r="U88" s="106"/>
      <c r="V88" s="154"/>
      <c r="W88" s="106"/>
      <c r="X88" s="163"/>
      <c r="Y88" s="4"/>
      <c r="Z88" s="26"/>
    </row>
    <row r="89" spans="2:26" ht="15" customHeight="1">
      <c r="B89" s="25"/>
      <c r="C89" s="50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4"/>
      <c r="O89" s="91"/>
      <c r="P89" s="4"/>
      <c r="Q89" s="92"/>
      <c r="R89" s="4"/>
      <c r="S89" s="4"/>
      <c r="T89" s="105"/>
      <c r="U89" s="4"/>
      <c r="V89" s="94"/>
      <c r="W89" s="4"/>
      <c r="X89" s="95"/>
      <c r="Y89" s="4"/>
      <c r="Z89" s="26"/>
    </row>
    <row r="90" spans="2:26" ht="5.25" customHeight="1">
      <c r="B90" s="2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91"/>
      <c r="P90" s="4"/>
      <c r="Q90" s="92"/>
      <c r="R90" s="4"/>
      <c r="S90" s="4"/>
      <c r="T90" s="105"/>
      <c r="U90" s="4"/>
      <c r="V90" s="94"/>
      <c r="W90" s="4"/>
      <c r="X90" s="95"/>
      <c r="Y90" s="4"/>
      <c r="Z90" s="26"/>
    </row>
    <row r="91" spans="2:26" s="4" customFormat="1" ht="15.75" customHeight="1">
      <c r="B91" s="25"/>
      <c r="C91" s="4" t="s">
        <v>45</v>
      </c>
      <c r="O91" s="91"/>
      <c r="Q91" s="92"/>
      <c r="T91" s="105"/>
      <c r="V91" s="94"/>
      <c r="X91" s="95"/>
      <c r="Z91" s="26"/>
    </row>
    <row r="92" spans="2:26" s="4" customFormat="1" ht="4.5" customHeight="1">
      <c r="B92" s="25"/>
      <c r="O92" s="91"/>
      <c r="Q92" s="92"/>
      <c r="T92" s="105"/>
      <c r="V92" s="94"/>
      <c r="X92" s="95"/>
      <c r="Z92" s="26"/>
    </row>
    <row r="93" spans="2:26" ht="5.25" customHeight="1">
      <c r="B93" s="2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91"/>
      <c r="P93" s="4"/>
      <c r="Q93" s="92"/>
      <c r="R93" s="4"/>
      <c r="S93" s="4"/>
      <c r="T93" s="105"/>
      <c r="U93" s="4"/>
      <c r="V93" s="94"/>
      <c r="W93" s="4"/>
      <c r="X93" s="95"/>
      <c r="Y93" s="4"/>
      <c r="Z93" s="26"/>
    </row>
    <row r="94" spans="2:26" ht="18" customHeight="1">
      <c r="B94" s="25"/>
      <c r="C94" s="106" t="s">
        <v>207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26"/>
      <c r="P94" s="106"/>
      <c r="Q94" s="137"/>
      <c r="R94" s="106"/>
      <c r="S94" s="4"/>
      <c r="T94" s="138"/>
      <c r="U94" s="106"/>
      <c r="V94" s="154"/>
      <c r="W94" s="106"/>
      <c r="X94" s="163"/>
      <c r="Y94" s="4"/>
      <c r="Z94" s="26"/>
    </row>
    <row r="95" spans="2:26" ht="15" customHeight="1">
      <c r="B95" s="25"/>
      <c r="C95" s="50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4"/>
      <c r="O95" s="91"/>
      <c r="P95" s="4"/>
      <c r="Q95" s="92"/>
      <c r="R95" s="4"/>
      <c r="S95" s="4"/>
      <c r="T95" s="105"/>
      <c r="U95" s="4"/>
      <c r="V95" s="94"/>
      <c r="W95" s="4"/>
      <c r="X95" s="95"/>
      <c r="Y95" s="4"/>
      <c r="Z95" s="26"/>
    </row>
    <row r="96" spans="2:26" ht="5.25" customHeight="1">
      <c r="B96" s="2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91"/>
      <c r="P96" s="4"/>
      <c r="Q96" s="92"/>
      <c r="R96" s="4"/>
      <c r="S96" s="4"/>
      <c r="T96" s="105"/>
      <c r="U96" s="4"/>
      <c r="V96" s="94"/>
      <c r="W96" s="4"/>
      <c r="X96" s="95"/>
      <c r="Y96" s="4"/>
      <c r="Z96" s="26"/>
    </row>
    <row r="97" spans="2:26" s="4" customFormat="1" ht="6" customHeight="1" thickBot="1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125"/>
      <c r="P97" s="28"/>
      <c r="Q97" s="135"/>
      <c r="R97" s="28"/>
      <c r="S97" s="28"/>
      <c r="T97" s="136"/>
      <c r="U97" s="28"/>
      <c r="V97" s="153"/>
      <c r="W97" s="28"/>
      <c r="X97" s="162"/>
      <c r="Y97" s="28"/>
      <c r="Z97" s="29"/>
    </row>
    <row r="98" spans="15:24" ht="9" customHeight="1" thickBot="1">
      <c r="O98" s="91"/>
      <c r="Q98" s="92"/>
      <c r="R98" s="4"/>
      <c r="S98" s="4"/>
      <c r="T98" s="105"/>
      <c r="V98" s="94"/>
      <c r="X98" s="95"/>
    </row>
    <row r="99" spans="2:26" ht="6" customHeight="1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124"/>
      <c r="P99" s="23"/>
      <c r="Q99" s="133"/>
      <c r="R99" s="23"/>
      <c r="S99" s="23"/>
      <c r="T99" s="134"/>
      <c r="U99" s="23"/>
      <c r="V99" s="152"/>
      <c r="W99" s="23"/>
      <c r="X99" s="161"/>
      <c r="Y99" s="23"/>
      <c r="Z99" s="24"/>
    </row>
    <row r="100" spans="2:26" ht="15" customHeight="1">
      <c r="B100" s="25"/>
      <c r="C100" s="106" t="s">
        <v>53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91"/>
      <c r="P100" s="4"/>
      <c r="Q100" s="92"/>
      <c r="R100" s="4"/>
      <c r="T100" s="105"/>
      <c r="U100" s="4"/>
      <c r="V100" s="94"/>
      <c r="W100" s="4"/>
      <c r="X100" s="95"/>
      <c r="Y100" s="4"/>
      <c r="Z100" s="26"/>
    </row>
    <row r="101" spans="2:26" ht="7.5" customHeight="1">
      <c r="B101" s="25"/>
      <c r="C101" s="5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91"/>
      <c r="P101" s="4"/>
      <c r="Q101" s="92"/>
      <c r="R101" s="4"/>
      <c r="S101" s="4"/>
      <c r="T101" s="105"/>
      <c r="U101" s="4"/>
      <c r="V101" s="94"/>
      <c r="W101" s="4"/>
      <c r="X101" s="95"/>
      <c r="Y101" s="4"/>
      <c r="Z101" s="26"/>
    </row>
    <row r="102" spans="2:26" ht="5.25" customHeight="1">
      <c r="B102" s="2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91"/>
      <c r="P102" s="4"/>
      <c r="Q102" s="92"/>
      <c r="R102" s="4"/>
      <c r="S102" s="4"/>
      <c r="T102" s="105"/>
      <c r="U102" s="4"/>
      <c r="V102" s="94"/>
      <c r="W102" s="4"/>
      <c r="X102" s="95"/>
      <c r="Y102" s="4"/>
      <c r="Z102" s="26"/>
    </row>
    <row r="103" spans="2:26" s="14" customFormat="1" ht="18" customHeight="1" thickBot="1">
      <c r="B103" s="112"/>
      <c r="C103" s="113" t="s">
        <v>4</v>
      </c>
      <c r="D103" s="114" t="s">
        <v>55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31"/>
      <c r="P103" s="114"/>
      <c r="Q103" s="147"/>
      <c r="R103" s="114"/>
      <c r="S103" s="151"/>
      <c r="T103" s="148"/>
      <c r="U103" s="114"/>
      <c r="V103" s="159"/>
      <c r="W103" s="114"/>
      <c r="X103" s="168"/>
      <c r="Y103" s="114"/>
      <c r="Z103" s="116"/>
    </row>
    <row r="104" spans="2:26" s="14" customFormat="1" ht="18" customHeight="1">
      <c r="B104" s="112"/>
      <c r="C104" s="113"/>
      <c r="D104" s="549" t="s">
        <v>56</v>
      </c>
      <c r="E104" s="549"/>
      <c r="F104" s="549"/>
      <c r="G104" s="549"/>
      <c r="H104" s="549"/>
      <c r="I104" s="549"/>
      <c r="J104" s="549"/>
      <c r="K104" s="549"/>
      <c r="L104" s="549"/>
      <c r="M104" s="549"/>
      <c r="N104" s="114"/>
      <c r="O104" s="131"/>
      <c r="P104" s="114"/>
      <c r="Q104" s="147"/>
      <c r="R104" s="114"/>
      <c r="S104" s="114"/>
      <c r="T104" s="148"/>
      <c r="U104" s="114"/>
      <c r="V104" s="159"/>
      <c r="W104" s="114"/>
      <c r="X104" s="168"/>
      <c r="Y104" s="114"/>
      <c r="Z104" s="116"/>
    </row>
    <row r="105" spans="2:26" s="14" customFormat="1" ht="9.75" customHeight="1">
      <c r="B105" s="112"/>
      <c r="C105" s="113"/>
      <c r="D105" s="114" t="s">
        <v>54</v>
      </c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31"/>
      <c r="P105" s="114"/>
      <c r="Q105" s="147"/>
      <c r="R105" s="114"/>
      <c r="S105" s="114"/>
      <c r="T105" s="148"/>
      <c r="U105" s="114"/>
      <c r="V105" s="159"/>
      <c r="W105" s="114"/>
      <c r="X105" s="168"/>
      <c r="Y105" s="114"/>
      <c r="Z105" s="116"/>
    </row>
    <row r="106" spans="2:26" ht="14.25" customHeight="1">
      <c r="B106" s="25"/>
      <c r="C106" s="57"/>
      <c r="D106" s="531" t="s">
        <v>130</v>
      </c>
      <c r="E106" s="532"/>
      <c r="F106" s="532"/>
      <c r="G106" s="532"/>
      <c r="H106" s="532"/>
      <c r="I106" s="532"/>
      <c r="J106" s="532"/>
      <c r="K106" s="532"/>
      <c r="L106" s="532"/>
      <c r="M106" s="532"/>
      <c r="N106" s="57"/>
      <c r="O106" s="127"/>
      <c r="P106" s="57"/>
      <c r="Q106" s="139"/>
      <c r="R106" s="57"/>
      <c r="S106" s="57"/>
      <c r="T106" s="140"/>
      <c r="U106" s="57"/>
      <c r="V106" s="155"/>
      <c r="W106" s="57"/>
      <c r="X106" s="164"/>
      <c r="Y106" s="4"/>
      <c r="Z106" s="26"/>
    </row>
    <row r="107" spans="2:26" ht="14.25" customHeight="1">
      <c r="B107" s="25"/>
      <c r="C107" s="57"/>
      <c r="D107" s="531" t="s">
        <v>131</v>
      </c>
      <c r="E107" s="532"/>
      <c r="F107" s="532"/>
      <c r="G107" s="532"/>
      <c r="H107" s="532"/>
      <c r="I107" s="532"/>
      <c r="J107" s="532"/>
      <c r="K107" s="532"/>
      <c r="L107" s="532"/>
      <c r="M107" s="532"/>
      <c r="N107" s="57"/>
      <c r="O107" s="127"/>
      <c r="P107" s="57"/>
      <c r="Q107" s="139"/>
      <c r="R107" s="57"/>
      <c r="S107" s="57"/>
      <c r="T107" s="140"/>
      <c r="U107" s="57"/>
      <c r="V107" s="155"/>
      <c r="W107" s="57"/>
      <c r="X107" s="164"/>
      <c r="Y107" s="4"/>
      <c r="Z107" s="26"/>
    </row>
    <row r="108" spans="2:26" ht="15" customHeight="1">
      <c r="B108" s="25"/>
      <c r="C108" s="4"/>
      <c r="D108" s="500"/>
      <c r="E108" s="80"/>
      <c r="F108" s="80"/>
      <c r="G108" s="80"/>
      <c r="H108" s="80"/>
      <c r="I108" s="80"/>
      <c r="J108" s="80"/>
      <c r="K108" s="80"/>
      <c r="L108" s="80"/>
      <c r="M108" s="80"/>
      <c r="N108" s="4"/>
      <c r="O108" s="91"/>
      <c r="P108" s="4"/>
      <c r="Q108" s="92"/>
      <c r="R108" s="4"/>
      <c r="S108" s="4"/>
      <c r="T108" s="105"/>
      <c r="U108" s="4"/>
      <c r="V108" s="94"/>
      <c r="W108" s="4"/>
      <c r="X108" s="95"/>
      <c r="Y108" s="4"/>
      <c r="Z108" s="26"/>
    </row>
    <row r="109" spans="2:26" ht="9" customHeight="1">
      <c r="B109" s="2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91"/>
      <c r="P109" s="4"/>
      <c r="Q109" s="92"/>
      <c r="R109" s="4"/>
      <c r="S109" s="4"/>
      <c r="T109" s="105"/>
      <c r="U109" s="4"/>
      <c r="V109" s="94"/>
      <c r="W109" s="4"/>
      <c r="X109" s="95"/>
      <c r="Y109" s="4"/>
      <c r="Z109" s="26"/>
    </row>
    <row r="110" spans="2:26" ht="6" customHeight="1">
      <c r="B110" s="2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91"/>
      <c r="P110" s="4"/>
      <c r="Q110" s="92"/>
      <c r="R110" s="4"/>
      <c r="S110" s="4"/>
      <c r="T110" s="105"/>
      <c r="U110" s="4"/>
      <c r="V110" s="94"/>
      <c r="W110" s="4"/>
      <c r="X110" s="95"/>
      <c r="Y110" s="4"/>
      <c r="Z110" s="26"/>
    </row>
    <row r="111" spans="2:26" ht="5.25" customHeight="1">
      <c r="B111" s="2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91"/>
      <c r="P111" s="4"/>
      <c r="Q111" s="92"/>
      <c r="R111" s="4"/>
      <c r="S111" s="4"/>
      <c r="T111" s="105"/>
      <c r="U111" s="4"/>
      <c r="V111" s="94"/>
      <c r="W111" s="4"/>
      <c r="X111" s="95"/>
      <c r="Y111" s="4"/>
      <c r="Z111" s="26"/>
    </row>
    <row r="112" spans="2:26" s="14" customFormat="1" ht="18" customHeight="1" thickBot="1">
      <c r="B112" s="112"/>
      <c r="C112" s="113" t="s">
        <v>4</v>
      </c>
      <c r="D112" s="114" t="s">
        <v>132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31"/>
      <c r="P112" s="114"/>
      <c r="Q112" s="147"/>
      <c r="R112" s="114"/>
      <c r="S112" s="151"/>
      <c r="T112" s="148"/>
      <c r="U112" s="114"/>
      <c r="V112" s="159"/>
      <c r="W112" s="114"/>
      <c r="X112" s="168"/>
      <c r="Y112" s="114"/>
      <c r="Z112" s="116"/>
    </row>
    <row r="113" spans="2:26" ht="16.5" customHeight="1">
      <c r="B113" s="25"/>
      <c r="C113" s="57"/>
      <c r="D113" s="110" t="s">
        <v>133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127"/>
      <c r="P113" s="57"/>
      <c r="Q113" s="139"/>
      <c r="R113" s="57"/>
      <c r="S113" s="57"/>
      <c r="T113" s="140"/>
      <c r="U113" s="57"/>
      <c r="V113" s="155"/>
      <c r="W113" s="57"/>
      <c r="X113" s="164"/>
      <c r="Y113" s="4"/>
      <c r="Z113" s="26"/>
    </row>
    <row r="114" spans="2:26" ht="15" customHeight="1">
      <c r="B114" s="25"/>
      <c r="C114" s="4"/>
      <c r="D114" s="500"/>
      <c r="E114" s="80"/>
      <c r="F114" s="80"/>
      <c r="G114" s="80"/>
      <c r="H114" s="80"/>
      <c r="I114" s="80"/>
      <c r="J114" s="80"/>
      <c r="K114" s="80"/>
      <c r="L114" s="80"/>
      <c r="M114" s="80"/>
      <c r="N114" s="4"/>
      <c r="O114" s="91"/>
      <c r="P114" s="4"/>
      <c r="Q114" s="92"/>
      <c r="R114" s="4"/>
      <c r="S114" s="4"/>
      <c r="T114" s="105"/>
      <c r="U114" s="4"/>
      <c r="V114" s="94"/>
      <c r="W114" s="4"/>
      <c r="X114" s="95"/>
      <c r="Y114" s="4"/>
      <c r="Z114" s="26"/>
    </row>
    <row r="115" spans="2:26" ht="9" customHeight="1">
      <c r="B115" s="2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91"/>
      <c r="P115" s="4"/>
      <c r="Q115" s="92"/>
      <c r="R115" s="4"/>
      <c r="S115" s="4"/>
      <c r="T115" s="105"/>
      <c r="U115" s="4"/>
      <c r="V115" s="94"/>
      <c r="W115" s="4"/>
      <c r="X115" s="95"/>
      <c r="Y115" s="4"/>
      <c r="Z115" s="26"/>
    </row>
    <row r="116" spans="2:26" ht="5.25" customHeight="1" thickBot="1"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125"/>
      <c r="P116" s="28"/>
      <c r="Q116" s="135"/>
      <c r="R116" s="28"/>
      <c r="S116" s="28"/>
      <c r="T116" s="136"/>
      <c r="U116" s="28"/>
      <c r="V116" s="153"/>
      <c r="W116" s="28"/>
      <c r="X116" s="162"/>
      <c r="Y116" s="28"/>
      <c r="Z116" s="29"/>
    </row>
    <row r="117" spans="15:24" ht="9" customHeight="1" thickBot="1">
      <c r="O117" s="91"/>
      <c r="Q117" s="92"/>
      <c r="R117" s="4"/>
      <c r="S117" s="4"/>
      <c r="T117" s="105"/>
      <c r="V117" s="94"/>
      <c r="X117" s="95"/>
    </row>
    <row r="118" spans="2:26" ht="6" customHeight="1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124"/>
      <c r="P118" s="23"/>
      <c r="Q118" s="133"/>
      <c r="R118" s="23"/>
      <c r="S118" s="23"/>
      <c r="T118" s="134"/>
      <c r="U118" s="23"/>
      <c r="V118" s="152"/>
      <c r="W118" s="23"/>
      <c r="X118" s="161"/>
      <c r="Y118" s="23"/>
      <c r="Z118" s="24"/>
    </row>
    <row r="119" spans="2:26" ht="15" customHeight="1">
      <c r="B119" s="25"/>
      <c r="C119" s="106" t="s">
        <v>65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91"/>
      <c r="P119" s="4"/>
      <c r="Q119" s="92"/>
      <c r="R119" s="4"/>
      <c r="T119" s="105"/>
      <c r="U119" s="4"/>
      <c r="V119" s="94"/>
      <c r="W119" s="4"/>
      <c r="X119" s="95"/>
      <c r="Y119" s="4"/>
      <c r="Z119" s="26"/>
    </row>
    <row r="120" spans="2:26" ht="5.25" customHeight="1">
      <c r="B120" s="25"/>
      <c r="C120" s="10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91"/>
      <c r="P120" s="4"/>
      <c r="Q120" s="92"/>
      <c r="R120" s="4"/>
      <c r="S120" s="58"/>
      <c r="T120" s="105"/>
      <c r="U120" s="4"/>
      <c r="V120" s="94"/>
      <c r="W120" s="4"/>
      <c r="X120" s="95"/>
      <c r="Y120" s="4"/>
      <c r="Z120" s="26"/>
    </row>
    <row r="121" spans="2:26" ht="18" customHeight="1" thickBot="1">
      <c r="B121" s="25"/>
      <c r="C121" s="106" t="s">
        <v>67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91"/>
      <c r="P121" s="4"/>
      <c r="Q121" s="92"/>
      <c r="R121" s="4"/>
      <c r="S121" s="151"/>
      <c r="T121" s="105"/>
      <c r="U121" s="4"/>
      <c r="V121" s="94"/>
      <c r="W121" s="4"/>
      <c r="X121" s="95"/>
      <c r="Y121" s="4"/>
      <c r="Z121" s="26"/>
    </row>
    <row r="122" spans="2:26" ht="8.25" customHeight="1">
      <c r="B122" s="25"/>
      <c r="C122" s="10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91"/>
      <c r="P122" s="4"/>
      <c r="Q122" s="92"/>
      <c r="R122" s="4"/>
      <c r="S122" s="58"/>
      <c r="T122" s="105"/>
      <c r="U122" s="4"/>
      <c r="V122" s="94"/>
      <c r="W122" s="4"/>
      <c r="X122" s="95"/>
      <c r="Y122" s="4"/>
      <c r="Z122" s="26"/>
    </row>
    <row r="123" spans="2:26" ht="20.25" customHeight="1">
      <c r="B123" s="25"/>
      <c r="C123" s="114" t="s">
        <v>39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91"/>
      <c r="P123" s="4"/>
      <c r="Q123" s="92"/>
      <c r="R123" s="4"/>
      <c r="S123" s="58"/>
      <c r="T123" s="105"/>
      <c r="U123" s="4"/>
      <c r="V123" s="94"/>
      <c r="W123" s="4"/>
      <c r="X123" s="95"/>
      <c r="Y123" s="4"/>
      <c r="Z123" s="26"/>
    </row>
    <row r="124" spans="2:26" ht="5.25" customHeight="1">
      <c r="B124" s="2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91"/>
      <c r="P124" s="4"/>
      <c r="Q124" s="92"/>
      <c r="R124" s="4"/>
      <c r="S124" s="4"/>
      <c r="T124" s="105"/>
      <c r="U124" s="4"/>
      <c r="V124" s="94"/>
      <c r="W124" s="4"/>
      <c r="X124" s="95"/>
      <c r="Y124" s="4"/>
      <c r="Z124" s="26"/>
    </row>
    <row r="125" spans="2:26" s="14" customFormat="1" ht="18" customHeight="1" thickBot="1">
      <c r="B125" s="112"/>
      <c r="C125" s="113" t="s">
        <v>4</v>
      </c>
      <c r="D125" s="114" t="s">
        <v>66</v>
      </c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31"/>
      <c r="P125" s="114"/>
      <c r="Q125" s="147"/>
      <c r="R125" s="114"/>
      <c r="S125" s="151"/>
      <c r="T125" s="148"/>
      <c r="U125" s="114"/>
      <c r="V125" s="159"/>
      <c r="W125" s="114"/>
      <c r="X125" s="168"/>
      <c r="Y125" s="114"/>
      <c r="Z125" s="116"/>
    </row>
    <row r="126" spans="2:26" s="14" customFormat="1" ht="18" customHeight="1">
      <c r="B126" s="112"/>
      <c r="C126" s="113"/>
      <c r="D126" s="114" t="s">
        <v>240</v>
      </c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31"/>
      <c r="P126" s="114"/>
      <c r="Q126" s="147"/>
      <c r="R126" s="114"/>
      <c r="S126" s="118"/>
      <c r="T126" s="148"/>
      <c r="U126" s="114"/>
      <c r="V126" s="159"/>
      <c r="W126" s="114"/>
      <c r="X126" s="168"/>
      <c r="Y126" s="114"/>
      <c r="Z126" s="116"/>
    </row>
    <row r="127" spans="2:26" ht="15" customHeight="1">
      <c r="B127" s="25"/>
      <c r="C127" s="4"/>
      <c r="D127" s="500"/>
      <c r="E127" s="80"/>
      <c r="F127" s="80"/>
      <c r="G127" s="80"/>
      <c r="H127" s="80"/>
      <c r="I127" s="80"/>
      <c r="J127" s="80"/>
      <c r="K127" s="80"/>
      <c r="L127" s="80"/>
      <c r="M127" s="80"/>
      <c r="N127" s="4"/>
      <c r="O127" s="91"/>
      <c r="P127" s="4"/>
      <c r="Q127" s="92"/>
      <c r="R127" s="4"/>
      <c r="S127" s="4"/>
      <c r="T127" s="105"/>
      <c r="U127" s="4"/>
      <c r="V127" s="94"/>
      <c r="W127" s="4"/>
      <c r="X127" s="95"/>
      <c r="Y127" s="4"/>
      <c r="Z127" s="26"/>
    </row>
    <row r="128" spans="2:26" ht="9" customHeight="1">
      <c r="B128" s="2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91"/>
      <c r="P128" s="4"/>
      <c r="Q128" s="92"/>
      <c r="R128" s="4"/>
      <c r="S128" s="4"/>
      <c r="T128" s="105"/>
      <c r="U128" s="4"/>
      <c r="V128" s="94"/>
      <c r="W128" s="4"/>
      <c r="X128" s="95"/>
      <c r="Y128" s="4"/>
      <c r="Z128" s="26"/>
    </row>
    <row r="129" spans="2:26" ht="7.5" customHeight="1">
      <c r="B129" s="25"/>
      <c r="C129" s="5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91"/>
      <c r="P129" s="4"/>
      <c r="Q129" s="92"/>
      <c r="R129" s="4"/>
      <c r="S129" s="4"/>
      <c r="T129" s="105"/>
      <c r="U129" s="4"/>
      <c r="V129" s="94"/>
      <c r="W129" s="4"/>
      <c r="X129" s="95"/>
      <c r="Y129" s="4"/>
      <c r="Z129" s="26"/>
    </row>
    <row r="130" spans="2:26" ht="5.25" customHeight="1">
      <c r="B130" s="2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91"/>
      <c r="P130" s="4"/>
      <c r="Q130" s="92"/>
      <c r="R130" s="4"/>
      <c r="S130" s="4"/>
      <c r="T130" s="105"/>
      <c r="U130" s="4"/>
      <c r="V130" s="94"/>
      <c r="W130" s="4"/>
      <c r="X130" s="95"/>
      <c r="Y130" s="4"/>
      <c r="Z130" s="26"/>
    </row>
    <row r="131" spans="2:26" s="14" customFormat="1" ht="18" customHeight="1" thickBot="1">
      <c r="B131" s="112"/>
      <c r="C131" s="113" t="s">
        <v>4</v>
      </c>
      <c r="D131" s="528" t="s">
        <v>189</v>
      </c>
      <c r="E131" s="528"/>
      <c r="F131" s="528"/>
      <c r="G131" s="528"/>
      <c r="H131" s="528"/>
      <c r="I131" s="528"/>
      <c r="J131" s="528"/>
      <c r="K131" s="528"/>
      <c r="L131" s="528"/>
      <c r="M131" s="528"/>
      <c r="N131" s="114"/>
      <c r="O131" s="131"/>
      <c r="P131" s="114"/>
      <c r="Q131" s="147"/>
      <c r="R131" s="114"/>
      <c r="S131" s="151"/>
      <c r="T131" s="148"/>
      <c r="U131" s="114"/>
      <c r="V131" s="159"/>
      <c r="W131" s="114"/>
      <c r="X131" s="168"/>
      <c r="Y131" s="114"/>
      <c r="Z131" s="116"/>
    </row>
    <row r="132" spans="2:26" s="14" customFormat="1" ht="11.25" customHeight="1">
      <c r="B132" s="112"/>
      <c r="C132" s="113"/>
      <c r="D132" s="529"/>
      <c r="E132" s="529"/>
      <c r="F132" s="529"/>
      <c r="G132" s="529"/>
      <c r="H132" s="529"/>
      <c r="I132" s="529"/>
      <c r="J132" s="529"/>
      <c r="K132" s="529"/>
      <c r="L132" s="529"/>
      <c r="M132" s="529"/>
      <c r="N132" s="114"/>
      <c r="O132" s="131"/>
      <c r="P132" s="114"/>
      <c r="Q132" s="147"/>
      <c r="R132" s="114"/>
      <c r="S132" s="118"/>
      <c r="T132" s="148"/>
      <c r="U132" s="114"/>
      <c r="V132" s="159"/>
      <c r="W132" s="114"/>
      <c r="X132" s="168"/>
      <c r="Y132" s="114"/>
      <c r="Z132" s="116"/>
    </row>
    <row r="133" spans="2:26" ht="15" customHeight="1">
      <c r="B133" s="25"/>
      <c r="C133" s="4"/>
      <c r="D133" s="500"/>
      <c r="E133" s="80"/>
      <c r="F133" s="80"/>
      <c r="G133" s="80"/>
      <c r="H133" s="80"/>
      <c r="I133" s="80"/>
      <c r="J133" s="80"/>
      <c r="K133" s="80"/>
      <c r="L133" s="80"/>
      <c r="M133" s="80"/>
      <c r="N133" s="4"/>
      <c r="O133" s="91"/>
      <c r="P133" s="4"/>
      <c r="Q133" s="92"/>
      <c r="R133" s="4"/>
      <c r="S133" s="4"/>
      <c r="T133" s="105"/>
      <c r="U133" s="4"/>
      <c r="V133" s="94"/>
      <c r="W133" s="4"/>
      <c r="X133" s="95"/>
      <c r="Y133" s="4"/>
      <c r="Z133" s="26"/>
    </row>
    <row r="134" spans="2:26" ht="6.75" customHeight="1">
      <c r="B134" s="2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91"/>
      <c r="P134" s="4"/>
      <c r="Q134" s="92"/>
      <c r="R134" s="4"/>
      <c r="S134" s="4"/>
      <c r="T134" s="105"/>
      <c r="U134" s="4"/>
      <c r="V134" s="94"/>
      <c r="W134" s="4"/>
      <c r="X134" s="95"/>
      <c r="Y134" s="4"/>
      <c r="Z134" s="26"/>
    </row>
    <row r="135" spans="2:26" ht="5.25" customHeight="1" thickBot="1"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125"/>
      <c r="P135" s="28"/>
      <c r="Q135" s="135"/>
      <c r="R135" s="28"/>
      <c r="S135" s="28"/>
      <c r="T135" s="136"/>
      <c r="U135" s="28"/>
      <c r="V135" s="153"/>
      <c r="W135" s="28"/>
      <c r="X135" s="162"/>
      <c r="Y135" s="28"/>
      <c r="Z135" s="29"/>
    </row>
    <row r="136" spans="15:24" ht="9" customHeight="1" thickBot="1">
      <c r="O136" s="91"/>
      <c r="Q136" s="92"/>
      <c r="R136" s="4"/>
      <c r="S136" s="4"/>
      <c r="T136" s="105"/>
      <c r="V136" s="94"/>
      <c r="X136" s="95"/>
    </row>
    <row r="137" spans="2:26" ht="6" customHeight="1"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124"/>
      <c r="P137" s="23"/>
      <c r="Q137" s="133"/>
      <c r="R137" s="23"/>
      <c r="S137" s="23"/>
      <c r="T137" s="134"/>
      <c r="U137" s="23"/>
      <c r="V137" s="152"/>
      <c r="W137" s="23"/>
      <c r="X137" s="161"/>
      <c r="Y137" s="23"/>
      <c r="Z137" s="24"/>
    </row>
    <row r="138" spans="2:26" ht="15" customHeight="1">
      <c r="B138" s="25"/>
      <c r="C138" s="106" t="s">
        <v>69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91"/>
      <c r="P138" s="4"/>
      <c r="Q138" s="92"/>
      <c r="R138" s="4"/>
      <c r="T138" s="105"/>
      <c r="U138" s="4"/>
      <c r="V138" s="94"/>
      <c r="W138" s="4"/>
      <c r="X138" s="95"/>
      <c r="Y138" s="4"/>
      <c r="Z138" s="26"/>
    </row>
    <row r="139" spans="2:26" ht="6" customHeight="1">
      <c r="B139" s="2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91"/>
      <c r="P139" s="4"/>
      <c r="Q139" s="92"/>
      <c r="R139" s="4"/>
      <c r="S139" s="4"/>
      <c r="T139" s="105"/>
      <c r="U139" s="4"/>
      <c r="V139" s="94"/>
      <c r="W139" s="4"/>
      <c r="X139" s="95"/>
      <c r="Y139" s="4"/>
      <c r="Z139" s="26"/>
    </row>
    <row r="140" spans="2:26" ht="18" customHeight="1" thickBot="1">
      <c r="B140" s="25"/>
      <c r="C140" s="106" t="s">
        <v>134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91"/>
      <c r="P140" s="4"/>
      <c r="Q140" s="92"/>
      <c r="R140" s="4"/>
      <c r="S140" s="151"/>
      <c r="T140" s="105"/>
      <c r="U140" s="4"/>
      <c r="V140" s="94"/>
      <c r="W140" s="4"/>
      <c r="X140" s="95"/>
      <c r="Y140" s="4"/>
      <c r="Z140" s="26"/>
    </row>
    <row r="141" spans="2:26" ht="4.5" customHeight="1">
      <c r="B141" s="25"/>
      <c r="C141" s="10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91"/>
      <c r="P141" s="4"/>
      <c r="Q141" s="92"/>
      <c r="R141" s="4"/>
      <c r="S141" s="58"/>
      <c r="T141" s="105"/>
      <c r="U141" s="4"/>
      <c r="V141" s="94"/>
      <c r="W141" s="4"/>
      <c r="X141" s="95"/>
      <c r="Y141" s="4"/>
      <c r="Z141" s="26"/>
    </row>
    <row r="142" spans="2:26" ht="15" customHeight="1">
      <c r="B142" s="25"/>
      <c r="C142" s="106" t="s">
        <v>39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91"/>
      <c r="P142" s="4"/>
      <c r="Q142" s="92"/>
      <c r="R142" s="4"/>
      <c r="S142" s="58"/>
      <c r="T142" s="105"/>
      <c r="U142" s="4"/>
      <c r="V142" s="94"/>
      <c r="W142" s="4"/>
      <c r="X142" s="95"/>
      <c r="Y142" s="4"/>
      <c r="Z142" s="26"/>
    </row>
    <row r="143" spans="2:26" ht="5.25" customHeight="1">
      <c r="B143" s="2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91"/>
      <c r="P143" s="4"/>
      <c r="Q143" s="92"/>
      <c r="R143" s="4"/>
      <c r="S143" s="4"/>
      <c r="T143" s="105"/>
      <c r="U143" s="4"/>
      <c r="V143" s="94"/>
      <c r="W143" s="4"/>
      <c r="X143" s="95"/>
      <c r="Y143" s="4"/>
      <c r="Z143" s="26"/>
    </row>
    <row r="144" spans="2:26" s="14" customFormat="1" ht="18" customHeight="1" thickBot="1">
      <c r="B144" s="112"/>
      <c r="C144" s="114" t="s">
        <v>92</v>
      </c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31"/>
      <c r="P144" s="114"/>
      <c r="Q144" s="147"/>
      <c r="R144" s="114"/>
      <c r="S144" s="151"/>
      <c r="T144" s="148"/>
      <c r="U144" s="114"/>
      <c r="V144" s="159"/>
      <c r="W144" s="114"/>
      <c r="X144" s="168"/>
      <c r="Y144" s="114"/>
      <c r="Z144" s="116"/>
    </row>
    <row r="145" spans="2:26" s="69" customFormat="1" ht="21" customHeight="1">
      <c r="B145" s="70"/>
      <c r="C145" s="537" t="s">
        <v>93</v>
      </c>
      <c r="D145" s="537"/>
      <c r="E145" s="537"/>
      <c r="F145" s="537"/>
      <c r="G145" s="537"/>
      <c r="H145" s="537"/>
      <c r="I145" s="537"/>
      <c r="J145" s="537"/>
      <c r="K145" s="537"/>
      <c r="L145" s="537"/>
      <c r="M145" s="537"/>
      <c r="N145" s="107"/>
      <c r="O145" s="132"/>
      <c r="P145" s="107"/>
      <c r="Q145" s="149"/>
      <c r="R145" s="107"/>
      <c r="S145" s="107"/>
      <c r="T145" s="150"/>
      <c r="U145" s="107"/>
      <c r="V145" s="160"/>
      <c r="W145" s="107"/>
      <c r="X145" s="169"/>
      <c r="Y145" s="75"/>
      <c r="Z145" s="71"/>
    </row>
    <row r="146" spans="2:26" ht="15" customHeight="1">
      <c r="B146" s="25"/>
      <c r="C146" s="500"/>
      <c r="D146" s="500"/>
      <c r="E146" s="80"/>
      <c r="F146" s="80"/>
      <c r="G146" s="80"/>
      <c r="H146" s="80"/>
      <c r="I146" s="80"/>
      <c r="J146" s="80"/>
      <c r="K146" s="80"/>
      <c r="L146" s="80"/>
      <c r="M146" s="80"/>
      <c r="N146" s="4"/>
      <c r="O146" s="91"/>
      <c r="P146" s="4"/>
      <c r="Q146" s="92"/>
      <c r="R146" s="4"/>
      <c r="S146" s="4"/>
      <c r="T146" s="105"/>
      <c r="U146" s="4"/>
      <c r="V146" s="94"/>
      <c r="W146" s="4"/>
      <c r="X146" s="95"/>
      <c r="Y146" s="4"/>
      <c r="Z146" s="26"/>
    </row>
    <row r="147" spans="2:26" ht="6" customHeight="1">
      <c r="B147" s="2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91"/>
      <c r="P147" s="4"/>
      <c r="Q147" s="92"/>
      <c r="R147" s="4"/>
      <c r="S147" s="4"/>
      <c r="T147" s="105"/>
      <c r="U147" s="4"/>
      <c r="V147" s="94"/>
      <c r="W147" s="4"/>
      <c r="X147" s="95"/>
      <c r="Y147" s="4"/>
      <c r="Z147" s="26"/>
    </row>
    <row r="148" spans="2:26" ht="5.25" customHeight="1" thickBot="1">
      <c r="B148" s="27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125"/>
      <c r="P148" s="28"/>
      <c r="Q148" s="135"/>
      <c r="R148" s="28"/>
      <c r="S148" s="28"/>
      <c r="T148" s="136"/>
      <c r="U148" s="28"/>
      <c r="V148" s="153"/>
      <c r="W148" s="28"/>
      <c r="X148" s="162"/>
      <c r="Y148" s="28"/>
      <c r="Z148" s="29"/>
    </row>
    <row r="149" spans="15:24" ht="9" customHeight="1" thickBot="1">
      <c r="O149" s="91"/>
      <c r="Q149" s="92"/>
      <c r="R149" s="4"/>
      <c r="S149" s="4"/>
      <c r="T149" s="105"/>
      <c r="V149" s="94"/>
      <c r="X149" s="95"/>
    </row>
    <row r="150" spans="2:26" ht="6" customHeight="1"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124"/>
      <c r="P150" s="23"/>
      <c r="Q150" s="133"/>
      <c r="R150" s="23"/>
      <c r="S150" s="23"/>
      <c r="T150" s="134"/>
      <c r="U150" s="23"/>
      <c r="V150" s="152"/>
      <c r="W150" s="23"/>
      <c r="X150" s="161"/>
      <c r="Y150" s="23"/>
      <c r="Z150" s="24"/>
    </row>
    <row r="151" spans="2:26" s="4" customFormat="1" ht="15" customHeight="1">
      <c r="B151" s="25"/>
      <c r="C151" s="114" t="s">
        <v>94</v>
      </c>
      <c r="O151" s="91"/>
      <c r="Q151" s="92"/>
      <c r="T151" s="105"/>
      <c r="V151" s="94"/>
      <c r="X151" s="95"/>
      <c r="Z151" s="26"/>
    </row>
    <row r="152" spans="2:26" s="14" customFormat="1" ht="18" customHeight="1" thickBot="1">
      <c r="B152" s="112"/>
      <c r="C152" s="114" t="s">
        <v>70</v>
      </c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115"/>
      <c r="O152" s="129"/>
      <c r="P152" s="115"/>
      <c r="Q152" s="143"/>
      <c r="R152" s="115"/>
      <c r="S152" s="151"/>
      <c r="T152" s="144"/>
      <c r="U152" s="115"/>
      <c r="V152" s="157"/>
      <c r="W152" s="115"/>
      <c r="X152" s="166"/>
      <c r="Y152" s="68"/>
      <c r="Z152" s="116"/>
    </row>
    <row r="153" spans="2:26" s="69" customFormat="1" ht="15" customHeight="1">
      <c r="B153" s="70"/>
      <c r="C153" s="107" t="s">
        <v>191</v>
      </c>
      <c r="D153" s="76"/>
      <c r="E153" s="76"/>
      <c r="F153" s="76"/>
      <c r="G153" s="76"/>
      <c r="H153" s="76"/>
      <c r="I153" s="76"/>
      <c r="J153" s="76"/>
      <c r="K153" s="75"/>
      <c r="L153" s="75"/>
      <c r="M153" s="75"/>
      <c r="N153" s="75"/>
      <c r="O153" s="181"/>
      <c r="P153" s="75"/>
      <c r="Q153" s="182"/>
      <c r="R153" s="75"/>
      <c r="S153" s="75"/>
      <c r="T153" s="183"/>
      <c r="U153" s="75"/>
      <c r="V153" s="184"/>
      <c r="W153" s="75"/>
      <c r="X153" s="185"/>
      <c r="Y153" s="75"/>
      <c r="Z153" s="71"/>
    </row>
    <row r="154" spans="2:26" ht="15" customHeight="1">
      <c r="B154" s="25"/>
      <c r="C154" s="500"/>
      <c r="D154" s="500"/>
      <c r="E154" s="80"/>
      <c r="F154" s="80"/>
      <c r="G154" s="80"/>
      <c r="H154" s="80"/>
      <c r="I154" s="80"/>
      <c r="J154" s="80"/>
      <c r="K154" s="80"/>
      <c r="L154" s="80"/>
      <c r="M154" s="80"/>
      <c r="N154" s="4"/>
      <c r="O154" s="91"/>
      <c r="P154" s="4"/>
      <c r="Q154" s="92"/>
      <c r="R154" s="4"/>
      <c r="S154" s="4"/>
      <c r="T154" s="105"/>
      <c r="U154" s="4"/>
      <c r="V154" s="94"/>
      <c r="W154" s="4"/>
      <c r="X154" s="95"/>
      <c r="Y154" s="4"/>
      <c r="Z154" s="26"/>
    </row>
    <row r="155" spans="2:26" s="4" customFormat="1" ht="9" customHeight="1">
      <c r="B155" s="25"/>
      <c r="O155" s="91"/>
      <c r="Q155" s="92"/>
      <c r="T155" s="105"/>
      <c r="V155" s="94"/>
      <c r="X155" s="95"/>
      <c r="Z155" s="26"/>
    </row>
    <row r="156" spans="2:26" ht="5.25" customHeight="1" thickBot="1">
      <c r="B156" s="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91"/>
      <c r="P156" s="4"/>
      <c r="Q156" s="92"/>
      <c r="R156" s="4"/>
      <c r="S156" s="4"/>
      <c r="T156" s="105"/>
      <c r="U156" s="4"/>
      <c r="V156" s="94"/>
      <c r="W156" s="4"/>
      <c r="X156" s="95"/>
      <c r="Y156" s="4"/>
      <c r="Z156" s="28"/>
    </row>
    <row r="157" spans="2:26" ht="5.25" customHeight="1"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124"/>
      <c r="P157" s="23"/>
      <c r="Q157" s="133"/>
      <c r="R157" s="23"/>
      <c r="S157" s="23"/>
      <c r="T157" s="134"/>
      <c r="U157" s="23"/>
      <c r="V157" s="152"/>
      <c r="W157" s="23"/>
      <c r="X157" s="161"/>
      <c r="Y157" s="23"/>
      <c r="Z157" s="24"/>
    </row>
    <row r="158" spans="2:26" ht="18" customHeight="1" thickBot="1">
      <c r="B158" s="25"/>
      <c r="C158" s="523" t="s">
        <v>18</v>
      </c>
      <c r="D158" s="524"/>
      <c r="E158" s="524"/>
      <c r="F158" s="524"/>
      <c r="G158" s="524"/>
      <c r="H158" s="524"/>
      <c r="I158" s="524"/>
      <c r="J158" s="524"/>
      <c r="K158" s="524"/>
      <c r="L158" s="524"/>
      <c r="M158" s="524"/>
      <c r="N158" s="111"/>
      <c r="O158" s="130"/>
      <c r="P158" s="111"/>
      <c r="Q158" s="145"/>
      <c r="R158" s="4"/>
      <c r="S158" s="151"/>
      <c r="T158" s="146"/>
      <c r="U158" s="111"/>
      <c r="V158" s="158"/>
      <c r="W158" s="111"/>
      <c r="X158" s="167"/>
      <c r="Y158" s="4"/>
      <c r="Z158" s="26"/>
    </row>
    <row r="159" spans="2:26" ht="5.25" customHeight="1">
      <c r="B159" s="25"/>
      <c r="C159" s="524"/>
      <c r="D159" s="524"/>
      <c r="E159" s="524"/>
      <c r="F159" s="524"/>
      <c r="G159" s="524"/>
      <c r="H159" s="524"/>
      <c r="I159" s="524"/>
      <c r="J159" s="524"/>
      <c r="K159" s="524"/>
      <c r="L159" s="524"/>
      <c r="M159" s="524"/>
      <c r="N159" s="4"/>
      <c r="O159" s="91"/>
      <c r="P159" s="4"/>
      <c r="Q159" s="92"/>
      <c r="R159" s="4"/>
      <c r="S159" s="4"/>
      <c r="T159" s="105"/>
      <c r="U159" s="4"/>
      <c r="V159" s="94"/>
      <c r="W159" s="4"/>
      <c r="X159" s="95"/>
      <c r="Y159" s="4"/>
      <c r="Z159" s="26"/>
    </row>
    <row r="160" spans="2:26" ht="15" customHeight="1">
      <c r="B160" s="25"/>
      <c r="C160" s="50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4"/>
      <c r="O160" s="91"/>
      <c r="P160" s="4"/>
      <c r="Q160" s="92"/>
      <c r="R160" s="4"/>
      <c r="S160" s="4"/>
      <c r="T160" s="105"/>
      <c r="U160" s="4"/>
      <c r="V160" s="94"/>
      <c r="W160" s="4"/>
      <c r="X160" s="95"/>
      <c r="Y160" s="4"/>
      <c r="Z160" s="26"/>
    </row>
    <row r="161" spans="2:26" ht="5.25" customHeight="1" thickBot="1">
      <c r="B161" s="27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125"/>
      <c r="P161" s="28"/>
      <c r="Q161" s="135"/>
      <c r="R161" s="28"/>
      <c r="S161" s="28"/>
      <c r="T161" s="136"/>
      <c r="U161" s="28"/>
      <c r="V161" s="153"/>
      <c r="W161" s="28"/>
      <c r="X161" s="162"/>
      <c r="Y161" s="28"/>
      <c r="Z161" s="29"/>
    </row>
    <row r="162" spans="15:24" ht="5.25" customHeight="1">
      <c r="O162" s="91"/>
      <c r="Q162" s="92"/>
      <c r="R162" s="4"/>
      <c r="S162" s="4"/>
      <c r="T162" s="105"/>
      <c r="V162" s="94"/>
      <c r="X162" s="95"/>
    </row>
    <row r="163" spans="15:24" s="4" customFormat="1" ht="5.25" customHeight="1" thickBot="1">
      <c r="O163" s="119"/>
      <c r="Q163" s="120"/>
      <c r="R163" s="121"/>
      <c r="S163" s="121"/>
      <c r="T163" s="122"/>
      <c r="V163" s="123"/>
      <c r="X163" s="170"/>
    </row>
    <row r="164" s="4" customFormat="1" ht="5.25" customHeight="1"/>
    <row r="165" ht="19.5" customHeight="1" thickBot="1"/>
    <row r="166" spans="2:25" ht="18.75" customHeight="1" thickBot="1">
      <c r="B166" s="83" t="s">
        <v>196</v>
      </c>
      <c r="C166" s="84"/>
      <c r="D166" s="32"/>
      <c r="E166" s="33"/>
      <c r="F166" s="34"/>
      <c r="G166" s="34"/>
      <c r="H166" s="34"/>
      <c r="I166" s="34"/>
      <c r="J166" s="34"/>
      <c r="K166" s="34"/>
      <c r="L166" s="34"/>
      <c r="M166" s="35"/>
      <c r="O166" s="85"/>
      <c r="P166" s="4"/>
      <c r="Q166" s="86"/>
      <c r="R166" s="87"/>
      <c r="S166" s="545"/>
      <c r="T166" s="88"/>
      <c r="U166" s="4"/>
      <c r="V166" s="89"/>
      <c r="W166" s="4"/>
      <c r="X166" s="90"/>
      <c r="Y166" s="4"/>
    </row>
    <row r="167" spans="3:25" ht="15.75" customHeight="1">
      <c r="C167" s="56"/>
      <c r="D167" s="30"/>
      <c r="E167" s="31"/>
      <c r="O167" s="91"/>
      <c r="P167" s="4"/>
      <c r="Q167" s="92"/>
      <c r="R167" s="4"/>
      <c r="S167" s="546"/>
      <c r="T167" s="93"/>
      <c r="U167" s="4"/>
      <c r="V167" s="94"/>
      <c r="W167" s="4"/>
      <c r="X167" s="95"/>
      <c r="Y167" s="4"/>
    </row>
    <row r="168" spans="15:25" ht="21" customHeight="1">
      <c r="O168" s="91"/>
      <c r="P168" s="4"/>
      <c r="Q168" s="92"/>
      <c r="R168" s="4"/>
      <c r="S168" s="546"/>
      <c r="T168" s="93"/>
      <c r="U168" s="4"/>
      <c r="V168" s="94"/>
      <c r="W168" s="4"/>
      <c r="X168" s="95"/>
      <c r="Y168" s="4"/>
    </row>
    <row r="169" spans="2:25" s="14" customFormat="1" ht="18">
      <c r="B169" s="96" t="s">
        <v>197</v>
      </c>
      <c r="C169" s="97"/>
      <c r="D169" s="98"/>
      <c r="E169" s="99"/>
      <c r="F169" s="100"/>
      <c r="G169" s="100"/>
      <c r="H169" s="100"/>
      <c r="I169" s="100"/>
      <c r="J169" s="100"/>
      <c r="K169" s="100"/>
      <c r="L169" s="100"/>
      <c r="M169" s="100"/>
      <c r="N169" s="68"/>
      <c r="O169" s="101"/>
      <c r="P169" s="68"/>
      <c r="Q169" s="102"/>
      <c r="R169" s="68"/>
      <c r="S169" s="546"/>
      <c r="T169" s="93"/>
      <c r="U169" s="68"/>
      <c r="V169" s="103"/>
      <c r="W169" s="68"/>
      <c r="X169" s="104"/>
      <c r="Y169" s="68"/>
    </row>
    <row r="170" spans="15:25" ht="13.5" customHeight="1" thickBot="1">
      <c r="O170" s="91"/>
      <c r="P170" s="4"/>
      <c r="Q170" s="92"/>
      <c r="R170" s="4"/>
      <c r="S170" s="4"/>
      <c r="T170" s="105"/>
      <c r="U170" s="4"/>
      <c r="V170" s="94"/>
      <c r="W170" s="4"/>
      <c r="X170" s="95"/>
      <c r="Y170" s="4"/>
    </row>
    <row r="171" spans="2:26" s="4" customFormat="1" ht="5.25" customHeight="1"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24"/>
      <c r="P171" s="23"/>
      <c r="Q171" s="133"/>
      <c r="R171" s="23"/>
      <c r="S171" s="23"/>
      <c r="T171" s="134"/>
      <c r="U171" s="23"/>
      <c r="V171" s="152"/>
      <c r="W171" s="23"/>
      <c r="X171" s="161"/>
      <c r="Y171" s="23"/>
      <c r="Z171" s="24"/>
    </row>
    <row r="172" spans="2:26" s="4" customFormat="1" ht="5.25" customHeight="1">
      <c r="B172" s="25"/>
      <c r="O172" s="91"/>
      <c r="Q172" s="92"/>
      <c r="T172" s="105"/>
      <c r="V172" s="94"/>
      <c r="X172" s="95"/>
      <c r="Z172" s="26"/>
    </row>
    <row r="173" spans="2:26" s="14" customFormat="1" ht="18" customHeight="1" thickBot="1">
      <c r="B173" s="112"/>
      <c r="C173" s="528" t="s">
        <v>58</v>
      </c>
      <c r="D173" s="524"/>
      <c r="E173" s="524"/>
      <c r="F173" s="524"/>
      <c r="G173" s="524"/>
      <c r="H173" s="524"/>
      <c r="I173" s="524"/>
      <c r="J173" s="524"/>
      <c r="K173" s="524"/>
      <c r="L173" s="524"/>
      <c r="M173" s="524"/>
      <c r="N173" s="115"/>
      <c r="O173" s="129"/>
      <c r="P173" s="115"/>
      <c r="Q173" s="143"/>
      <c r="R173" s="115"/>
      <c r="S173" s="151"/>
      <c r="T173" s="144"/>
      <c r="U173" s="115"/>
      <c r="V173" s="157"/>
      <c r="W173" s="115"/>
      <c r="X173" s="166"/>
      <c r="Y173" s="68"/>
      <c r="Z173" s="116"/>
    </row>
    <row r="174" spans="2:26" ht="11.25" customHeight="1">
      <c r="B174" s="25"/>
      <c r="C174" s="524"/>
      <c r="D174" s="524"/>
      <c r="E174" s="524"/>
      <c r="F174" s="524"/>
      <c r="G174" s="524"/>
      <c r="H174" s="524"/>
      <c r="I174" s="524"/>
      <c r="J174" s="524"/>
      <c r="K174" s="524"/>
      <c r="L174" s="524"/>
      <c r="M174" s="524"/>
      <c r="N174" s="57"/>
      <c r="O174" s="127"/>
      <c r="P174" s="57"/>
      <c r="Q174" s="139"/>
      <c r="R174" s="57"/>
      <c r="S174" s="171"/>
      <c r="T174" s="140"/>
      <c r="U174" s="57"/>
      <c r="V174" s="155"/>
      <c r="W174" s="57"/>
      <c r="X174" s="164"/>
      <c r="Y174" s="4"/>
      <c r="Z174" s="26"/>
    </row>
    <row r="175" spans="2:26" ht="15" customHeight="1">
      <c r="B175" s="25"/>
      <c r="C175" s="500"/>
      <c r="D175" s="500"/>
      <c r="E175" s="80"/>
      <c r="F175" s="80"/>
      <c r="G175" s="80"/>
      <c r="H175" s="80"/>
      <c r="I175" s="80"/>
      <c r="J175" s="80"/>
      <c r="K175" s="80"/>
      <c r="L175" s="80"/>
      <c r="M175" s="80"/>
      <c r="N175" s="4"/>
      <c r="O175" s="91"/>
      <c r="P175" s="4"/>
      <c r="Q175" s="92"/>
      <c r="R175" s="4"/>
      <c r="S175" s="4"/>
      <c r="T175" s="105"/>
      <c r="U175" s="4"/>
      <c r="V175" s="94"/>
      <c r="W175" s="4"/>
      <c r="X175" s="95"/>
      <c r="Y175" s="4"/>
      <c r="Z175" s="26"/>
    </row>
    <row r="176" spans="2:26" ht="9" customHeight="1">
      <c r="B176" s="2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91"/>
      <c r="P176" s="4"/>
      <c r="Q176" s="92"/>
      <c r="R176" s="4"/>
      <c r="S176" s="172"/>
      <c r="T176" s="105"/>
      <c r="U176" s="4"/>
      <c r="V176" s="94"/>
      <c r="W176" s="4"/>
      <c r="X176" s="95"/>
      <c r="Y176" s="4"/>
      <c r="Z176" s="26"/>
    </row>
    <row r="177" spans="2:26" s="4" customFormat="1" ht="5.25" customHeight="1">
      <c r="B177" s="25"/>
      <c r="O177" s="91"/>
      <c r="Q177" s="92"/>
      <c r="T177" s="105"/>
      <c r="V177" s="94"/>
      <c r="X177" s="95"/>
      <c r="Z177" s="26"/>
    </row>
    <row r="178" spans="2:26" s="4" customFormat="1" ht="5.25" customHeight="1">
      <c r="B178" s="25"/>
      <c r="O178" s="91"/>
      <c r="Q178" s="92"/>
      <c r="T178" s="105"/>
      <c r="V178" s="94"/>
      <c r="X178" s="95"/>
      <c r="Z178" s="26"/>
    </row>
    <row r="179" spans="2:26" s="14" customFormat="1" ht="18" customHeight="1" thickBot="1">
      <c r="B179" s="112"/>
      <c r="C179" s="106" t="s">
        <v>59</v>
      </c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29"/>
      <c r="P179" s="115"/>
      <c r="Q179" s="143"/>
      <c r="R179" s="115"/>
      <c r="S179" s="151"/>
      <c r="T179" s="144"/>
      <c r="U179" s="115"/>
      <c r="V179" s="157"/>
      <c r="W179" s="115"/>
      <c r="X179" s="166"/>
      <c r="Y179" s="68"/>
      <c r="Z179" s="116"/>
    </row>
    <row r="180" spans="2:26" ht="11.25" customHeight="1">
      <c r="B180" s="25"/>
      <c r="C180" s="500"/>
      <c r="D180" s="500"/>
      <c r="E180" s="80"/>
      <c r="F180" s="80"/>
      <c r="G180" s="80"/>
      <c r="H180" s="80"/>
      <c r="I180" s="80"/>
      <c r="J180" s="80"/>
      <c r="K180" s="80"/>
      <c r="L180" s="80"/>
      <c r="M180" s="80"/>
      <c r="N180" s="4"/>
      <c r="O180" s="91"/>
      <c r="P180" s="4"/>
      <c r="Q180" s="92"/>
      <c r="R180" s="4"/>
      <c r="S180" s="4"/>
      <c r="T180" s="105"/>
      <c r="U180" s="4"/>
      <c r="V180" s="94"/>
      <c r="W180" s="4"/>
      <c r="X180" s="95"/>
      <c r="Y180" s="4"/>
      <c r="Z180" s="26"/>
    </row>
    <row r="181" spans="2:26" ht="5.25" customHeight="1">
      <c r="B181" s="2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91"/>
      <c r="P181" s="4"/>
      <c r="Q181" s="92"/>
      <c r="R181" s="4"/>
      <c r="S181" s="4"/>
      <c r="T181" s="105"/>
      <c r="U181" s="4"/>
      <c r="V181" s="94"/>
      <c r="W181" s="4"/>
      <c r="X181" s="95"/>
      <c r="Y181" s="4"/>
      <c r="Z181" s="26"/>
    </row>
    <row r="182" spans="2:26" ht="5.25" customHeight="1" thickBot="1">
      <c r="B182" s="27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125"/>
      <c r="P182" s="28"/>
      <c r="Q182" s="135"/>
      <c r="R182" s="28"/>
      <c r="S182" s="28"/>
      <c r="T182" s="136"/>
      <c r="U182" s="28"/>
      <c r="V182" s="153"/>
      <c r="W182" s="28"/>
      <c r="X182" s="162"/>
      <c r="Y182" s="28"/>
      <c r="Z182" s="29"/>
    </row>
    <row r="183" spans="2:26" ht="8.2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91"/>
      <c r="P183" s="4"/>
      <c r="Q183" s="92"/>
      <c r="R183" s="4"/>
      <c r="S183" s="4"/>
      <c r="T183" s="105"/>
      <c r="U183" s="4"/>
      <c r="V183" s="94"/>
      <c r="W183" s="4"/>
      <c r="X183" s="95"/>
      <c r="Y183" s="4"/>
      <c r="Z183" s="4"/>
    </row>
    <row r="184" spans="2:24" s="68" customFormat="1" ht="18">
      <c r="B184" s="96" t="s">
        <v>198</v>
      </c>
      <c r="C184" s="97"/>
      <c r="D184" s="98"/>
      <c r="E184" s="99"/>
      <c r="F184" s="100"/>
      <c r="G184" s="100"/>
      <c r="H184" s="100"/>
      <c r="I184" s="100"/>
      <c r="J184" s="100"/>
      <c r="K184" s="100"/>
      <c r="L184" s="100"/>
      <c r="M184" s="100"/>
      <c r="O184" s="101"/>
      <c r="Q184" s="102"/>
      <c r="T184" s="117"/>
      <c r="V184" s="103"/>
      <c r="X184" s="104"/>
    </row>
    <row r="185" spans="2:26" ht="8.25" customHeight="1" thickBo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91"/>
      <c r="P185" s="4"/>
      <c r="Q185" s="92"/>
      <c r="R185" s="4"/>
      <c r="S185" s="4"/>
      <c r="T185" s="105"/>
      <c r="U185" s="4"/>
      <c r="V185" s="94"/>
      <c r="W185" s="4"/>
      <c r="X185" s="95"/>
      <c r="Y185" s="4"/>
      <c r="Z185" s="4"/>
    </row>
    <row r="186" spans="2:26" ht="6" customHeight="1">
      <c r="B186" s="22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24"/>
      <c r="P186" s="23"/>
      <c r="Q186" s="133"/>
      <c r="R186" s="23"/>
      <c r="S186" s="23"/>
      <c r="T186" s="134"/>
      <c r="U186" s="23"/>
      <c r="V186" s="152"/>
      <c r="W186" s="23"/>
      <c r="X186" s="161"/>
      <c r="Y186" s="23"/>
      <c r="Z186" s="24"/>
    </row>
    <row r="187" spans="2:26" ht="15" customHeight="1">
      <c r="B187" s="25"/>
      <c r="C187" s="106" t="s">
        <v>250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91"/>
      <c r="P187" s="4"/>
      <c r="Q187" s="92"/>
      <c r="R187" s="4"/>
      <c r="T187" s="105"/>
      <c r="U187" s="4"/>
      <c r="V187" s="94"/>
      <c r="W187" s="4"/>
      <c r="X187" s="95"/>
      <c r="Y187" s="4"/>
      <c r="Z187" s="26"/>
    </row>
    <row r="188" spans="2:26" ht="5.25" customHeight="1">
      <c r="B188" s="2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91"/>
      <c r="P188" s="4"/>
      <c r="Q188" s="92"/>
      <c r="R188" s="4"/>
      <c r="S188" s="4"/>
      <c r="T188" s="105"/>
      <c r="U188" s="4"/>
      <c r="V188" s="94"/>
      <c r="W188" s="4"/>
      <c r="X188" s="95"/>
      <c r="Y188" s="4"/>
      <c r="Z188" s="26"/>
    </row>
    <row r="189" spans="2:26" s="14" customFormat="1" ht="18" customHeight="1" thickBot="1">
      <c r="B189" s="112"/>
      <c r="C189" s="222" t="s">
        <v>4</v>
      </c>
      <c r="D189" s="523" t="s">
        <v>192</v>
      </c>
      <c r="E189" s="527"/>
      <c r="F189" s="527"/>
      <c r="G189" s="527"/>
      <c r="H189" s="527"/>
      <c r="I189" s="527"/>
      <c r="J189" s="527"/>
      <c r="K189" s="527"/>
      <c r="L189" s="527"/>
      <c r="M189" s="527"/>
      <c r="N189" s="114"/>
      <c r="O189" s="131"/>
      <c r="P189" s="114"/>
      <c r="Q189" s="147"/>
      <c r="R189" s="114"/>
      <c r="S189" s="151"/>
      <c r="T189" s="148"/>
      <c r="U189" s="114"/>
      <c r="V189" s="159"/>
      <c r="W189" s="114"/>
      <c r="X189" s="168"/>
      <c r="Y189" s="114"/>
      <c r="Z189" s="116"/>
    </row>
    <row r="190" spans="2:26" s="14" customFormat="1" ht="9" customHeight="1">
      <c r="B190" s="112"/>
      <c r="C190" s="222"/>
      <c r="D190" s="527"/>
      <c r="E190" s="527"/>
      <c r="F190" s="527"/>
      <c r="G190" s="527"/>
      <c r="H190" s="527"/>
      <c r="I190" s="527"/>
      <c r="J190" s="527"/>
      <c r="K190" s="527"/>
      <c r="L190" s="527"/>
      <c r="M190" s="527"/>
      <c r="N190" s="114"/>
      <c r="O190" s="131"/>
      <c r="P190" s="114"/>
      <c r="Q190" s="147"/>
      <c r="R190" s="114"/>
      <c r="S190" s="114"/>
      <c r="T190" s="148"/>
      <c r="U190" s="114"/>
      <c r="V190" s="159"/>
      <c r="W190" s="114"/>
      <c r="X190" s="168"/>
      <c r="Y190" s="114"/>
      <c r="Z190" s="116"/>
    </row>
    <row r="191" spans="2:26" ht="12" customHeight="1">
      <c r="B191" s="25"/>
      <c r="C191" s="4"/>
      <c r="D191" s="500"/>
      <c r="E191" s="80"/>
      <c r="F191" s="80"/>
      <c r="G191" s="80"/>
      <c r="H191" s="80"/>
      <c r="I191" s="80"/>
      <c r="J191" s="80"/>
      <c r="K191" s="80"/>
      <c r="L191" s="80"/>
      <c r="M191" s="80"/>
      <c r="N191" s="4"/>
      <c r="O191" s="91"/>
      <c r="P191" s="4"/>
      <c r="Q191" s="92"/>
      <c r="R191" s="4"/>
      <c r="S191" s="4"/>
      <c r="T191" s="105"/>
      <c r="U191" s="4"/>
      <c r="V191" s="94"/>
      <c r="W191" s="4"/>
      <c r="X191" s="95"/>
      <c r="Y191" s="4"/>
      <c r="Z191" s="26"/>
    </row>
    <row r="192" spans="2:26" ht="6" customHeight="1">
      <c r="B192" s="2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91"/>
      <c r="P192" s="4"/>
      <c r="Q192" s="92"/>
      <c r="R192" s="4"/>
      <c r="S192" s="4"/>
      <c r="T192" s="105"/>
      <c r="U192" s="4"/>
      <c r="V192" s="94"/>
      <c r="W192" s="4"/>
      <c r="X192" s="95"/>
      <c r="Y192" s="4"/>
      <c r="Z192" s="26"/>
    </row>
    <row r="193" spans="2:26" ht="6" customHeight="1">
      <c r="B193" s="2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91"/>
      <c r="P193" s="4"/>
      <c r="Q193" s="92"/>
      <c r="R193" s="4"/>
      <c r="S193" s="4"/>
      <c r="T193" s="105"/>
      <c r="U193" s="4"/>
      <c r="V193" s="94"/>
      <c r="W193" s="4"/>
      <c r="X193" s="95"/>
      <c r="Y193" s="4"/>
      <c r="Z193" s="26"/>
    </row>
    <row r="194" spans="2:26" ht="5.25" customHeight="1">
      <c r="B194" s="2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91"/>
      <c r="P194" s="4"/>
      <c r="Q194" s="92"/>
      <c r="R194" s="4"/>
      <c r="S194" s="4"/>
      <c r="T194" s="105"/>
      <c r="U194" s="4"/>
      <c r="V194" s="94"/>
      <c r="W194" s="4"/>
      <c r="X194" s="95"/>
      <c r="Y194" s="4"/>
      <c r="Z194" s="26"/>
    </row>
    <row r="195" spans="2:26" s="14" customFormat="1" ht="18" customHeight="1" thickBot="1">
      <c r="B195" s="112"/>
      <c r="C195" s="222" t="s">
        <v>4</v>
      </c>
      <c r="D195" s="523" t="s">
        <v>61</v>
      </c>
      <c r="E195" s="523"/>
      <c r="F195" s="523"/>
      <c r="G195" s="523"/>
      <c r="H195" s="523"/>
      <c r="I195" s="523"/>
      <c r="J195" s="523"/>
      <c r="K195" s="523"/>
      <c r="L195" s="523"/>
      <c r="M195" s="523"/>
      <c r="N195" s="114"/>
      <c r="O195" s="131"/>
      <c r="P195" s="114"/>
      <c r="Q195" s="147"/>
      <c r="R195" s="114"/>
      <c r="S195" s="151"/>
      <c r="T195" s="148"/>
      <c r="U195" s="114"/>
      <c r="V195" s="159"/>
      <c r="W195" s="114"/>
      <c r="X195" s="168"/>
      <c r="Y195" s="114"/>
      <c r="Z195" s="116"/>
    </row>
    <row r="196" spans="2:26" s="14" customFormat="1" ht="4.5" customHeight="1">
      <c r="B196" s="112"/>
      <c r="C196" s="222"/>
      <c r="D196" s="527"/>
      <c r="E196" s="527"/>
      <c r="F196" s="527"/>
      <c r="G196" s="527"/>
      <c r="H196" s="527"/>
      <c r="I196" s="527"/>
      <c r="J196" s="527"/>
      <c r="K196" s="527"/>
      <c r="L196" s="527"/>
      <c r="M196" s="527"/>
      <c r="N196" s="114"/>
      <c r="O196" s="131"/>
      <c r="P196" s="114"/>
      <c r="Q196" s="147"/>
      <c r="R196" s="114"/>
      <c r="S196" s="118"/>
      <c r="T196" s="148"/>
      <c r="U196" s="114"/>
      <c r="V196" s="159"/>
      <c r="W196" s="114"/>
      <c r="X196" s="168"/>
      <c r="Y196" s="114"/>
      <c r="Z196" s="116"/>
    </row>
    <row r="197" spans="2:26" ht="16.5" customHeight="1">
      <c r="B197" s="25"/>
      <c r="C197" s="4"/>
      <c r="D197" s="500"/>
      <c r="E197" s="80"/>
      <c r="F197" s="80"/>
      <c r="G197" s="80"/>
      <c r="H197" s="80"/>
      <c r="I197" s="80"/>
      <c r="J197" s="80"/>
      <c r="K197" s="80"/>
      <c r="L197" s="80"/>
      <c r="M197" s="80"/>
      <c r="N197" s="4"/>
      <c r="O197" s="91"/>
      <c r="P197" s="4"/>
      <c r="Q197" s="92"/>
      <c r="R197" s="4"/>
      <c r="S197" s="4"/>
      <c r="T197" s="105"/>
      <c r="U197" s="4"/>
      <c r="V197" s="94"/>
      <c r="W197" s="4"/>
      <c r="X197" s="95"/>
      <c r="Y197" s="4"/>
      <c r="Z197" s="26"/>
    </row>
    <row r="198" spans="2:26" ht="6" customHeight="1">
      <c r="B198" s="2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91"/>
      <c r="P198" s="4"/>
      <c r="Q198" s="92"/>
      <c r="R198" s="4"/>
      <c r="S198" s="4"/>
      <c r="T198" s="105"/>
      <c r="U198" s="4"/>
      <c r="V198" s="94"/>
      <c r="W198" s="4"/>
      <c r="X198" s="95"/>
      <c r="Y198" s="4"/>
      <c r="Z198" s="26"/>
    </row>
    <row r="199" spans="2:26" ht="5.25" customHeight="1" thickBot="1">
      <c r="B199" s="27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125"/>
      <c r="P199" s="28"/>
      <c r="Q199" s="135"/>
      <c r="R199" s="28"/>
      <c r="S199" s="28"/>
      <c r="T199" s="136"/>
      <c r="U199" s="28"/>
      <c r="V199" s="153"/>
      <c r="W199" s="28"/>
      <c r="X199" s="162"/>
      <c r="Y199" s="28"/>
      <c r="Z199" s="29"/>
    </row>
    <row r="200" spans="15:24" ht="9" customHeight="1" thickBot="1">
      <c r="O200" s="91"/>
      <c r="Q200" s="92"/>
      <c r="R200" s="4"/>
      <c r="S200" s="4"/>
      <c r="T200" s="105"/>
      <c r="V200" s="94"/>
      <c r="X200" s="95"/>
    </row>
    <row r="201" spans="2:26" ht="4.5" customHeight="1"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124"/>
      <c r="P201" s="23"/>
      <c r="Q201" s="133"/>
      <c r="R201" s="23"/>
      <c r="S201" s="23"/>
      <c r="T201" s="134"/>
      <c r="U201" s="23"/>
      <c r="V201" s="152"/>
      <c r="W201" s="23"/>
      <c r="X201" s="161"/>
      <c r="Y201" s="23"/>
      <c r="Z201" s="24"/>
    </row>
    <row r="202" spans="2:26" s="14" customFormat="1" ht="18" customHeight="1" thickBot="1">
      <c r="B202" s="112"/>
      <c r="C202" s="528" t="s">
        <v>135</v>
      </c>
      <c r="D202" s="533"/>
      <c r="E202" s="533"/>
      <c r="F202" s="533"/>
      <c r="G202" s="533"/>
      <c r="H202" s="533"/>
      <c r="I202" s="533"/>
      <c r="J202" s="533"/>
      <c r="K202" s="533"/>
      <c r="L202" s="533"/>
      <c r="M202" s="533"/>
      <c r="N202" s="115"/>
      <c r="O202" s="129"/>
      <c r="P202" s="115"/>
      <c r="Q202" s="143"/>
      <c r="R202" s="115"/>
      <c r="S202" s="151"/>
      <c r="T202" s="144"/>
      <c r="U202" s="115"/>
      <c r="V202" s="157"/>
      <c r="W202" s="115"/>
      <c r="X202" s="166"/>
      <c r="Y202" s="68"/>
      <c r="Z202" s="116"/>
    </row>
    <row r="203" spans="2:26" ht="7.5" customHeight="1">
      <c r="B203" s="25"/>
      <c r="C203" s="533"/>
      <c r="D203" s="533"/>
      <c r="E203" s="533"/>
      <c r="F203" s="533"/>
      <c r="G203" s="533"/>
      <c r="H203" s="533"/>
      <c r="I203" s="533"/>
      <c r="J203" s="533"/>
      <c r="K203" s="533"/>
      <c r="L203" s="533"/>
      <c r="M203" s="533"/>
      <c r="N203" s="57"/>
      <c r="O203" s="127"/>
      <c r="P203" s="57"/>
      <c r="Q203" s="139"/>
      <c r="R203" s="57"/>
      <c r="S203" s="57"/>
      <c r="T203" s="140"/>
      <c r="U203" s="57"/>
      <c r="V203" s="155"/>
      <c r="W203" s="57"/>
      <c r="X203" s="164"/>
      <c r="Y203" s="4"/>
      <c r="Z203" s="26"/>
    </row>
    <row r="204" spans="2:26" ht="11.25" customHeight="1">
      <c r="B204" s="25"/>
      <c r="C204" s="50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4"/>
      <c r="O204" s="91"/>
      <c r="P204" s="4"/>
      <c r="Q204" s="92"/>
      <c r="R204" s="4"/>
      <c r="S204" s="4"/>
      <c r="T204" s="105"/>
      <c r="U204" s="4"/>
      <c r="V204" s="94"/>
      <c r="W204" s="4"/>
      <c r="X204" s="95"/>
      <c r="Y204" s="4"/>
      <c r="Z204" s="26"/>
    </row>
    <row r="205" spans="2:26" ht="5.25" customHeight="1" thickBot="1">
      <c r="B205" s="27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125"/>
      <c r="P205" s="28"/>
      <c r="Q205" s="135"/>
      <c r="R205" s="28"/>
      <c r="S205" s="28"/>
      <c r="T205" s="136"/>
      <c r="U205" s="28"/>
      <c r="V205" s="153"/>
      <c r="W205" s="28"/>
      <c r="X205" s="162"/>
      <c r="Y205" s="28"/>
      <c r="Z205" s="29"/>
    </row>
    <row r="206" spans="2:26" ht="8.2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91"/>
      <c r="P206" s="4"/>
      <c r="Q206" s="92"/>
      <c r="R206" s="4"/>
      <c r="S206" s="4"/>
      <c r="T206" s="105"/>
      <c r="U206" s="4"/>
      <c r="V206" s="94"/>
      <c r="W206" s="4"/>
      <c r="X206" s="95"/>
      <c r="Y206" s="4"/>
      <c r="Z206" s="4"/>
    </row>
    <row r="207" spans="2:24" s="68" customFormat="1" ht="18">
      <c r="B207" s="96" t="s">
        <v>23</v>
      </c>
      <c r="C207" s="97"/>
      <c r="D207" s="98"/>
      <c r="E207" s="99"/>
      <c r="F207" s="100"/>
      <c r="G207" s="100"/>
      <c r="H207" s="100"/>
      <c r="I207" s="100"/>
      <c r="J207" s="100"/>
      <c r="K207" s="100"/>
      <c r="L207" s="100"/>
      <c r="M207" s="100"/>
      <c r="O207" s="101"/>
      <c r="Q207" s="102"/>
      <c r="T207" s="117"/>
      <c r="V207" s="103"/>
      <c r="X207" s="104"/>
    </row>
    <row r="208" spans="2:26" ht="8.25" customHeight="1" thickBo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91"/>
      <c r="P208" s="4"/>
      <c r="Q208" s="92"/>
      <c r="R208" s="4"/>
      <c r="S208" s="4"/>
      <c r="T208" s="105"/>
      <c r="U208" s="4"/>
      <c r="V208" s="94"/>
      <c r="W208" s="4"/>
      <c r="X208" s="95"/>
      <c r="Y208" s="4"/>
      <c r="Z208" s="4"/>
    </row>
    <row r="209" spans="2:26" ht="4.5" customHeight="1"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124"/>
      <c r="P209" s="23"/>
      <c r="Q209" s="133"/>
      <c r="R209" s="23"/>
      <c r="S209" s="23"/>
      <c r="T209" s="134"/>
      <c r="U209" s="23"/>
      <c r="V209" s="152"/>
      <c r="W209" s="23"/>
      <c r="X209" s="161"/>
      <c r="Y209" s="23"/>
      <c r="Z209" s="24"/>
    </row>
    <row r="210" spans="2:26" s="4" customFormat="1" ht="4.5" customHeight="1">
      <c r="B210" s="25"/>
      <c r="O210" s="91"/>
      <c r="Q210" s="92"/>
      <c r="T210" s="105"/>
      <c r="V210" s="94"/>
      <c r="X210" s="95"/>
      <c r="Z210" s="26"/>
    </row>
    <row r="211" spans="2:26" s="14" customFormat="1" ht="18" customHeight="1" thickBot="1">
      <c r="B211" s="112"/>
      <c r="C211" s="114" t="s">
        <v>62</v>
      </c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29"/>
      <c r="P211" s="115"/>
      <c r="Q211" s="143"/>
      <c r="R211" s="115"/>
      <c r="S211" s="151"/>
      <c r="T211" s="144"/>
      <c r="U211" s="115"/>
      <c r="V211" s="157"/>
      <c r="W211" s="115"/>
      <c r="X211" s="166"/>
      <c r="Y211" s="68"/>
      <c r="Z211" s="116"/>
    </row>
    <row r="212" spans="2:26" ht="23.25" customHeight="1">
      <c r="B212" s="25"/>
      <c r="C212" s="537" t="s">
        <v>27</v>
      </c>
      <c r="D212" s="537"/>
      <c r="E212" s="537"/>
      <c r="F212" s="537"/>
      <c r="G212" s="537"/>
      <c r="H212" s="537"/>
      <c r="I212" s="537"/>
      <c r="J212" s="537"/>
      <c r="K212" s="537"/>
      <c r="L212" s="537"/>
      <c r="M212" s="537"/>
      <c r="N212" s="173"/>
      <c r="O212" s="174"/>
      <c r="P212" s="173"/>
      <c r="Q212" s="175"/>
      <c r="R212" s="173"/>
      <c r="S212" s="173"/>
      <c r="T212" s="176"/>
      <c r="U212" s="173"/>
      <c r="V212" s="186"/>
      <c r="W212" s="173"/>
      <c r="X212" s="177"/>
      <c r="Y212" s="111"/>
      <c r="Z212" s="26"/>
    </row>
    <row r="213" spans="2:26" ht="15" customHeight="1">
      <c r="B213" s="25"/>
      <c r="C213" s="500"/>
      <c r="D213" s="500"/>
      <c r="E213" s="80"/>
      <c r="F213" s="80"/>
      <c r="G213" s="80"/>
      <c r="H213" s="80"/>
      <c r="I213" s="80"/>
      <c r="J213" s="80"/>
      <c r="K213" s="80"/>
      <c r="L213" s="80"/>
      <c r="M213" s="80"/>
      <c r="N213" s="4"/>
      <c r="O213" s="91"/>
      <c r="P213" s="4"/>
      <c r="Q213" s="92"/>
      <c r="R213" s="4"/>
      <c r="S213" s="4"/>
      <c r="T213" s="105"/>
      <c r="U213" s="4"/>
      <c r="V213" s="94"/>
      <c r="W213" s="4"/>
      <c r="X213" s="95"/>
      <c r="Y213" s="4"/>
      <c r="Z213" s="26"/>
    </row>
    <row r="214" spans="2:26" ht="5.25" customHeight="1">
      <c r="B214" s="2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91"/>
      <c r="P214" s="4"/>
      <c r="Q214" s="92"/>
      <c r="R214" s="4"/>
      <c r="S214" s="4"/>
      <c r="T214" s="105"/>
      <c r="U214" s="4"/>
      <c r="V214" s="94"/>
      <c r="W214" s="4"/>
      <c r="X214" s="95"/>
      <c r="Y214" s="4"/>
      <c r="Z214" s="26"/>
    </row>
    <row r="215" spans="2:26" s="68" customFormat="1" ht="15" customHeight="1">
      <c r="B215" s="112"/>
      <c r="C215" s="68" t="s">
        <v>39</v>
      </c>
      <c r="O215" s="101"/>
      <c r="Q215" s="102"/>
      <c r="T215" s="117"/>
      <c r="V215" s="103"/>
      <c r="X215" s="104"/>
      <c r="Z215" s="116"/>
    </row>
    <row r="216" spans="2:26" ht="5.25" customHeight="1">
      <c r="B216" s="2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91"/>
      <c r="P216" s="4"/>
      <c r="Q216" s="92"/>
      <c r="R216" s="4"/>
      <c r="S216" s="4"/>
      <c r="T216" s="105"/>
      <c r="U216" s="4"/>
      <c r="V216" s="94"/>
      <c r="W216" s="4"/>
      <c r="X216" s="95"/>
      <c r="Y216" s="4"/>
      <c r="Z216" s="26"/>
    </row>
    <row r="217" spans="2:26" s="14" customFormat="1" ht="18" customHeight="1" thickBot="1">
      <c r="B217" s="112"/>
      <c r="C217" s="222" t="s">
        <v>4</v>
      </c>
      <c r="D217" s="106" t="s">
        <v>63</v>
      </c>
      <c r="E217" s="106"/>
      <c r="F217" s="106"/>
      <c r="G217" s="106"/>
      <c r="H217" s="106"/>
      <c r="I217" s="106"/>
      <c r="J217" s="106"/>
      <c r="K217" s="106"/>
      <c r="L217" s="106"/>
      <c r="M217" s="106"/>
      <c r="N217" s="114"/>
      <c r="O217" s="131"/>
      <c r="P217" s="114"/>
      <c r="Q217" s="147"/>
      <c r="R217" s="114"/>
      <c r="S217" s="151"/>
      <c r="T217" s="148"/>
      <c r="U217" s="114"/>
      <c r="V217" s="159"/>
      <c r="W217" s="114"/>
      <c r="X217" s="168"/>
      <c r="Y217" s="114"/>
      <c r="Z217" s="116"/>
    </row>
    <row r="218" spans="2:26" ht="15" customHeight="1">
      <c r="B218" s="25"/>
      <c r="C218" s="4"/>
      <c r="D218" s="500"/>
      <c r="E218" s="80"/>
      <c r="F218" s="80"/>
      <c r="G218" s="80"/>
      <c r="H218" s="80"/>
      <c r="I218" s="80"/>
      <c r="J218" s="80"/>
      <c r="K218" s="80"/>
      <c r="L218" s="80"/>
      <c r="M218" s="80"/>
      <c r="N218" s="4"/>
      <c r="O218" s="91"/>
      <c r="P218" s="4"/>
      <c r="Q218" s="92"/>
      <c r="R218" s="4"/>
      <c r="S218" s="4"/>
      <c r="T218" s="105"/>
      <c r="U218" s="4"/>
      <c r="V218" s="94"/>
      <c r="W218" s="4"/>
      <c r="X218" s="95"/>
      <c r="Y218" s="4"/>
      <c r="Z218" s="26"/>
    </row>
    <row r="219" spans="2:26" ht="9" customHeight="1">
      <c r="B219" s="2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91"/>
      <c r="P219" s="4"/>
      <c r="Q219" s="92"/>
      <c r="R219" s="4"/>
      <c r="S219" s="4"/>
      <c r="T219" s="105"/>
      <c r="U219" s="4"/>
      <c r="V219" s="94"/>
      <c r="W219" s="4"/>
      <c r="X219" s="95"/>
      <c r="Y219" s="4"/>
      <c r="Z219" s="26"/>
    </row>
    <row r="220" spans="2:26" ht="8.25" customHeight="1" thickBot="1"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125"/>
      <c r="P220" s="28"/>
      <c r="Q220" s="135"/>
      <c r="R220" s="28"/>
      <c r="S220" s="28"/>
      <c r="T220" s="136"/>
      <c r="U220" s="28"/>
      <c r="V220" s="153"/>
      <c r="W220" s="28"/>
      <c r="X220" s="162"/>
      <c r="Y220" s="28"/>
      <c r="Z220" s="29"/>
    </row>
    <row r="221" spans="2:26" ht="6.75" customHeight="1" thickBot="1">
      <c r="B221" s="4"/>
      <c r="C221" s="4"/>
      <c r="D221" s="4"/>
      <c r="E221" s="57"/>
      <c r="F221" s="57"/>
      <c r="G221" s="57"/>
      <c r="H221" s="57"/>
      <c r="I221" s="57"/>
      <c r="J221" s="57"/>
      <c r="K221" s="57"/>
      <c r="L221" s="4"/>
      <c r="M221" s="4"/>
      <c r="N221" s="4"/>
      <c r="O221" s="91"/>
      <c r="P221" s="4"/>
      <c r="Q221" s="92"/>
      <c r="R221" s="4"/>
      <c r="S221" s="4"/>
      <c r="T221" s="105"/>
      <c r="U221" s="4"/>
      <c r="V221" s="94"/>
      <c r="W221" s="4"/>
      <c r="X221" s="95"/>
      <c r="Y221" s="4"/>
      <c r="Z221" s="4"/>
    </row>
    <row r="222" spans="2:26" ht="5.25" customHeight="1">
      <c r="B222" s="22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124"/>
      <c r="P222" s="23"/>
      <c r="Q222" s="133"/>
      <c r="R222" s="23"/>
      <c r="S222" s="23"/>
      <c r="T222" s="134"/>
      <c r="U222" s="23"/>
      <c r="V222" s="152"/>
      <c r="W222" s="23"/>
      <c r="X222" s="161"/>
      <c r="Y222" s="23"/>
      <c r="Z222" s="24"/>
    </row>
    <row r="223" spans="2:26" s="14" customFormat="1" ht="18" customHeight="1" thickBot="1">
      <c r="B223" s="112"/>
      <c r="C223" s="82" t="s">
        <v>194</v>
      </c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115"/>
      <c r="O223" s="129"/>
      <c r="P223" s="115"/>
      <c r="Q223" s="143"/>
      <c r="R223" s="115"/>
      <c r="S223" s="151"/>
      <c r="T223" s="144"/>
      <c r="U223" s="115"/>
      <c r="V223" s="157"/>
      <c r="W223" s="115"/>
      <c r="X223" s="166"/>
      <c r="Y223" s="68"/>
      <c r="Z223" s="116"/>
    </row>
    <row r="224" spans="2:26" s="14" customFormat="1" ht="25.5" customHeight="1">
      <c r="B224" s="112"/>
      <c r="C224" s="542" t="s">
        <v>195</v>
      </c>
      <c r="D224" s="533"/>
      <c r="E224" s="533"/>
      <c r="F224" s="533"/>
      <c r="G224" s="533"/>
      <c r="H224" s="533"/>
      <c r="I224" s="533"/>
      <c r="J224" s="533"/>
      <c r="K224" s="533"/>
      <c r="L224" s="533"/>
      <c r="M224" s="533"/>
      <c r="N224" s="115"/>
      <c r="O224" s="129"/>
      <c r="P224" s="115"/>
      <c r="Q224" s="143"/>
      <c r="R224" s="115"/>
      <c r="S224" s="118"/>
      <c r="T224" s="144"/>
      <c r="U224" s="115"/>
      <c r="V224" s="157"/>
      <c r="W224" s="115"/>
      <c r="X224" s="166"/>
      <c r="Y224" s="68"/>
      <c r="Z224" s="116"/>
    </row>
    <row r="225" spans="2:26" ht="15" customHeight="1">
      <c r="B225" s="25"/>
      <c r="C225" s="50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4"/>
      <c r="O225" s="91"/>
      <c r="P225" s="4"/>
      <c r="Q225" s="92"/>
      <c r="R225" s="4"/>
      <c r="S225" s="4"/>
      <c r="T225" s="105"/>
      <c r="U225" s="4"/>
      <c r="V225" s="94"/>
      <c r="W225" s="4"/>
      <c r="X225" s="95"/>
      <c r="Y225" s="4"/>
      <c r="Z225" s="26"/>
    </row>
    <row r="226" spans="2:26" ht="9" customHeight="1" thickBot="1"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125"/>
      <c r="P226" s="28"/>
      <c r="Q226" s="135"/>
      <c r="R226" s="28"/>
      <c r="S226" s="28"/>
      <c r="T226" s="136"/>
      <c r="U226" s="28"/>
      <c r="V226" s="153"/>
      <c r="W226" s="28"/>
      <c r="X226" s="162"/>
      <c r="Y226" s="28"/>
      <c r="Z226" s="29"/>
    </row>
    <row r="227" spans="15:24" ht="9" customHeight="1" thickBot="1">
      <c r="O227" s="91"/>
      <c r="Q227" s="92"/>
      <c r="R227" s="4"/>
      <c r="S227" s="4"/>
      <c r="T227" s="105"/>
      <c r="V227" s="94"/>
      <c r="X227" s="95"/>
    </row>
    <row r="228" spans="2:26" ht="4.5" customHeight="1"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124"/>
      <c r="P228" s="23"/>
      <c r="Q228" s="133"/>
      <c r="R228" s="23"/>
      <c r="S228" s="23"/>
      <c r="T228" s="134"/>
      <c r="U228" s="23"/>
      <c r="V228" s="152"/>
      <c r="W228" s="23"/>
      <c r="X228" s="161"/>
      <c r="Y228" s="23"/>
      <c r="Z228" s="24"/>
    </row>
    <row r="229" spans="2:26" s="14" customFormat="1" ht="18" customHeight="1" thickBot="1">
      <c r="B229" s="112"/>
      <c r="C229" s="528" t="s">
        <v>129</v>
      </c>
      <c r="D229" s="528"/>
      <c r="E229" s="528"/>
      <c r="F229" s="528"/>
      <c r="G229" s="528"/>
      <c r="H229" s="528"/>
      <c r="I229" s="528"/>
      <c r="J229" s="528"/>
      <c r="K229" s="528"/>
      <c r="L229" s="528"/>
      <c r="M229" s="528"/>
      <c r="N229" s="114"/>
      <c r="O229" s="131"/>
      <c r="P229" s="114"/>
      <c r="Q229" s="147"/>
      <c r="R229" s="114"/>
      <c r="S229" s="151"/>
      <c r="T229" s="148"/>
      <c r="U229" s="114"/>
      <c r="V229" s="159"/>
      <c r="W229" s="114"/>
      <c r="X229" s="168"/>
      <c r="Y229" s="68"/>
      <c r="Z229" s="116"/>
    </row>
    <row r="230" spans="2:26" s="14" customFormat="1" ht="12" customHeight="1">
      <c r="B230" s="112"/>
      <c r="C230" s="528"/>
      <c r="D230" s="528"/>
      <c r="E230" s="528"/>
      <c r="F230" s="528"/>
      <c r="G230" s="528"/>
      <c r="H230" s="528"/>
      <c r="I230" s="528"/>
      <c r="J230" s="528"/>
      <c r="K230" s="528"/>
      <c r="L230" s="528"/>
      <c r="M230" s="528"/>
      <c r="N230" s="114"/>
      <c r="O230" s="131"/>
      <c r="P230" s="114"/>
      <c r="Q230" s="147"/>
      <c r="R230" s="114"/>
      <c r="S230" s="118"/>
      <c r="T230" s="148"/>
      <c r="U230" s="114"/>
      <c r="V230" s="159"/>
      <c r="W230" s="114"/>
      <c r="X230" s="168"/>
      <c r="Y230" s="68"/>
      <c r="Z230" s="116"/>
    </row>
    <row r="231" spans="2:26" ht="15" customHeight="1">
      <c r="B231" s="25"/>
      <c r="C231" s="50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4"/>
      <c r="O231" s="91"/>
      <c r="P231" s="4"/>
      <c r="Q231" s="92"/>
      <c r="R231" s="4"/>
      <c r="S231" s="4"/>
      <c r="T231" s="105"/>
      <c r="U231" s="4"/>
      <c r="V231" s="94"/>
      <c r="W231" s="4"/>
      <c r="X231" s="95"/>
      <c r="Y231" s="4"/>
      <c r="Z231" s="26"/>
    </row>
    <row r="232" spans="2:26" ht="5.25" customHeight="1" thickBot="1"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125"/>
      <c r="P232" s="28"/>
      <c r="Q232" s="135"/>
      <c r="R232" s="28"/>
      <c r="S232" s="28"/>
      <c r="T232" s="136"/>
      <c r="U232" s="28"/>
      <c r="V232" s="153"/>
      <c r="W232" s="28"/>
      <c r="X232" s="162"/>
      <c r="Y232" s="28"/>
      <c r="Z232" s="29"/>
    </row>
    <row r="233" spans="15:24" s="4" customFormat="1" ht="5.25" customHeight="1" thickBot="1">
      <c r="O233" s="119"/>
      <c r="Q233" s="120"/>
      <c r="R233" s="121"/>
      <c r="S233" s="121"/>
      <c r="T233" s="122"/>
      <c r="V233" s="123"/>
      <c r="X233" s="170"/>
    </row>
    <row r="234" ht="19.5" customHeight="1" thickBot="1"/>
    <row r="235" spans="2:25" ht="18.75" customHeight="1" thickBot="1">
      <c r="B235" s="83" t="s">
        <v>117</v>
      </c>
      <c r="C235" s="84"/>
      <c r="D235" s="32"/>
      <c r="E235" s="33"/>
      <c r="F235" s="34"/>
      <c r="G235" s="34"/>
      <c r="H235" s="34"/>
      <c r="I235" s="34"/>
      <c r="J235" s="34"/>
      <c r="K235" s="34"/>
      <c r="L235" s="34"/>
      <c r="M235" s="35"/>
      <c r="O235" s="85"/>
      <c r="P235" s="4"/>
      <c r="Q235" s="86"/>
      <c r="R235" s="87"/>
      <c r="S235" s="545"/>
      <c r="T235" s="88"/>
      <c r="U235" s="4"/>
      <c r="V235" s="89"/>
      <c r="W235" s="4"/>
      <c r="X235" s="90"/>
      <c r="Y235" s="4"/>
    </row>
    <row r="236" spans="3:25" ht="15.75" customHeight="1">
      <c r="C236" s="56"/>
      <c r="D236" s="30"/>
      <c r="E236" s="31"/>
      <c r="O236" s="91"/>
      <c r="P236" s="4"/>
      <c r="Q236" s="92"/>
      <c r="R236" s="4"/>
      <c r="S236" s="546"/>
      <c r="T236" s="93"/>
      <c r="U236" s="4"/>
      <c r="V236" s="94"/>
      <c r="W236" s="4"/>
      <c r="X236" s="95"/>
      <c r="Y236" s="4"/>
    </row>
    <row r="237" spans="15:25" ht="21" customHeight="1">
      <c r="O237" s="91"/>
      <c r="P237" s="4"/>
      <c r="Q237" s="92"/>
      <c r="R237" s="4"/>
      <c r="S237" s="546"/>
      <c r="T237" s="93"/>
      <c r="U237" s="4"/>
      <c r="V237" s="94"/>
      <c r="W237" s="4"/>
      <c r="X237" s="95"/>
      <c r="Y237" s="4"/>
    </row>
    <row r="238" spans="2:25" s="14" customFormat="1" ht="12.75">
      <c r="B238"/>
      <c r="C238"/>
      <c r="D238"/>
      <c r="E238"/>
      <c r="F238"/>
      <c r="G238"/>
      <c r="H238"/>
      <c r="I238"/>
      <c r="J238"/>
      <c r="K238"/>
      <c r="L238"/>
      <c r="M238"/>
      <c r="N238" s="68"/>
      <c r="O238" s="101"/>
      <c r="P238" s="68"/>
      <c r="Q238" s="102"/>
      <c r="R238" s="68"/>
      <c r="S238" s="546"/>
      <c r="T238" s="93"/>
      <c r="U238" s="68"/>
      <c r="V238" s="103"/>
      <c r="W238" s="68"/>
      <c r="X238" s="104"/>
      <c r="Y238" s="68"/>
    </row>
    <row r="239" spans="15:25" ht="13.5" customHeight="1" thickBot="1">
      <c r="O239" s="91"/>
      <c r="P239" s="4"/>
      <c r="Q239" s="92"/>
      <c r="R239" s="4"/>
      <c r="S239" s="4"/>
      <c r="T239" s="105"/>
      <c r="U239" s="4"/>
      <c r="V239" s="94"/>
      <c r="W239" s="4"/>
      <c r="X239" s="95"/>
      <c r="Y239" s="4"/>
    </row>
    <row r="240" spans="2:26" ht="6" customHeight="1">
      <c r="B240" s="22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124"/>
      <c r="P240" s="23"/>
      <c r="Q240" s="133"/>
      <c r="R240" s="23"/>
      <c r="S240" s="23"/>
      <c r="T240" s="134"/>
      <c r="U240" s="23"/>
      <c r="V240" s="152"/>
      <c r="W240" s="23"/>
      <c r="X240" s="161"/>
      <c r="Y240" s="23"/>
      <c r="Z240" s="24"/>
    </row>
    <row r="241" spans="2:26" ht="18" customHeight="1" thickBot="1">
      <c r="B241" s="25"/>
      <c r="C241" s="106" t="s">
        <v>118</v>
      </c>
      <c r="D241" s="303"/>
      <c r="E241" s="303"/>
      <c r="F241" s="303"/>
      <c r="G241" s="303"/>
      <c r="H241" s="303"/>
      <c r="I241" s="303"/>
      <c r="J241" s="303"/>
      <c r="K241" s="303"/>
      <c r="L241" s="303"/>
      <c r="M241" s="303"/>
      <c r="N241" s="384"/>
      <c r="O241" s="385"/>
      <c r="P241" s="384"/>
      <c r="Q241" s="386"/>
      <c r="R241" s="384"/>
      <c r="S241" s="151"/>
      <c r="T241" s="387"/>
      <c r="U241" s="384"/>
      <c r="V241" s="388"/>
      <c r="W241" s="384"/>
      <c r="X241" s="389"/>
      <c r="Y241" s="4"/>
      <c r="Z241" s="26"/>
    </row>
    <row r="242" spans="2:26" ht="33.75" customHeight="1">
      <c r="B242" s="25"/>
      <c r="C242" s="537" t="s">
        <v>246</v>
      </c>
      <c r="D242" s="533"/>
      <c r="E242" s="533"/>
      <c r="F242" s="533"/>
      <c r="G242" s="533"/>
      <c r="H242" s="533"/>
      <c r="I242" s="533"/>
      <c r="J242" s="533"/>
      <c r="K242" s="533"/>
      <c r="L242" s="533"/>
      <c r="M242" s="533"/>
      <c r="N242" s="384"/>
      <c r="O242" s="385"/>
      <c r="P242" s="384"/>
      <c r="Q242" s="386"/>
      <c r="R242" s="384"/>
      <c r="S242" s="58"/>
      <c r="T242" s="387"/>
      <c r="U242" s="384"/>
      <c r="V242" s="388"/>
      <c r="W242" s="384"/>
      <c r="X242" s="389"/>
      <c r="Y242" s="4"/>
      <c r="Z242" s="26"/>
    </row>
    <row r="243" spans="2:26" ht="20.25" customHeight="1">
      <c r="B243" s="25"/>
      <c r="C243" s="543" t="s">
        <v>119</v>
      </c>
      <c r="D243" s="550"/>
      <c r="E243" s="550"/>
      <c r="F243" s="550"/>
      <c r="G243" s="550"/>
      <c r="H243" s="550"/>
      <c r="I243" s="550"/>
      <c r="J243" s="550"/>
      <c r="K243" s="550"/>
      <c r="L243" s="550"/>
      <c r="M243" s="550"/>
      <c r="N243" s="384"/>
      <c r="O243" s="385"/>
      <c r="P243" s="384"/>
      <c r="Q243" s="386"/>
      <c r="R243" s="384"/>
      <c r="S243" s="384"/>
      <c r="T243" s="387"/>
      <c r="U243" s="384"/>
      <c r="V243" s="388"/>
      <c r="W243" s="384"/>
      <c r="X243" s="389"/>
      <c r="Y243" s="4"/>
      <c r="Z243" s="26"/>
    </row>
    <row r="244" spans="2:26" ht="12" customHeight="1">
      <c r="B244" s="25"/>
      <c r="C244" s="500"/>
      <c r="D244" s="500"/>
      <c r="E244" s="371"/>
      <c r="F244" s="370"/>
      <c r="G244" s="370"/>
      <c r="H244" s="370"/>
      <c r="I244" s="370"/>
      <c r="J244" s="370"/>
      <c r="K244" s="370"/>
      <c r="L244" s="370"/>
      <c r="M244" s="370"/>
      <c r="N244" s="198"/>
      <c r="O244" s="91"/>
      <c r="P244" s="4"/>
      <c r="Q244" s="92"/>
      <c r="R244" s="4"/>
      <c r="S244" s="4"/>
      <c r="T244" s="105"/>
      <c r="U244" s="4"/>
      <c r="V244" s="94"/>
      <c r="W244" s="4"/>
      <c r="X244" s="95"/>
      <c r="Y244" s="4"/>
      <c r="Z244" s="26"/>
    </row>
    <row r="245" spans="2:26" ht="6.75" customHeight="1" thickBot="1">
      <c r="B245" s="27"/>
      <c r="C245" s="28"/>
      <c r="D245" s="28"/>
      <c r="E245" s="369"/>
      <c r="F245" s="369"/>
      <c r="G245" s="369"/>
      <c r="H245" s="369"/>
      <c r="I245" s="369"/>
      <c r="J245" s="369"/>
      <c r="K245" s="369"/>
      <c r="L245" s="28"/>
      <c r="M245" s="28"/>
      <c r="N245" s="28"/>
      <c r="O245" s="125"/>
      <c r="P245" s="28"/>
      <c r="Q245" s="135"/>
      <c r="R245" s="28"/>
      <c r="S245" s="28"/>
      <c r="T245" s="136"/>
      <c r="U245" s="28"/>
      <c r="V245" s="153"/>
      <c r="W245" s="28"/>
      <c r="X245" s="162"/>
      <c r="Y245" s="28"/>
      <c r="Z245" s="29"/>
    </row>
    <row r="246" spans="2:26" ht="8.25" customHeight="1" thickBot="1">
      <c r="B246" s="4"/>
      <c r="C246" s="4"/>
      <c r="D246" s="4"/>
      <c r="E246" s="57"/>
      <c r="F246" s="57"/>
      <c r="G246" s="57"/>
      <c r="H246" s="57"/>
      <c r="I246" s="57"/>
      <c r="J246" s="57"/>
      <c r="K246" s="57"/>
      <c r="L246" s="4"/>
      <c r="M246" s="4"/>
      <c r="N246" s="4"/>
      <c r="O246" s="91"/>
      <c r="P246" s="4"/>
      <c r="Q246" s="92"/>
      <c r="R246" s="4"/>
      <c r="S246" s="4"/>
      <c r="T246" s="105"/>
      <c r="U246" s="4"/>
      <c r="V246" s="94"/>
      <c r="W246" s="4"/>
      <c r="X246" s="95"/>
      <c r="Y246" s="4"/>
      <c r="Z246" s="4"/>
    </row>
    <row r="247" spans="2:26" ht="6.75" customHeight="1">
      <c r="B247" s="22"/>
      <c r="C247" s="23"/>
      <c r="D247" s="23"/>
      <c r="E247" s="391"/>
      <c r="F247" s="391"/>
      <c r="G247" s="391"/>
      <c r="H247" s="391"/>
      <c r="I247" s="391"/>
      <c r="J247" s="391"/>
      <c r="K247" s="391"/>
      <c r="L247" s="23"/>
      <c r="M247" s="23"/>
      <c r="N247" s="23"/>
      <c r="O247" s="124"/>
      <c r="P247" s="23"/>
      <c r="Q247" s="133"/>
      <c r="R247" s="23"/>
      <c r="S247" s="23"/>
      <c r="T247" s="134"/>
      <c r="U247" s="23"/>
      <c r="V247" s="152"/>
      <c r="W247" s="23"/>
      <c r="X247" s="161"/>
      <c r="Y247" s="23"/>
      <c r="Z247" s="24"/>
    </row>
    <row r="248" spans="2:26" ht="18" customHeight="1" thickBot="1">
      <c r="B248" s="25"/>
      <c r="C248" s="543" t="s">
        <v>122</v>
      </c>
      <c r="D248" s="543"/>
      <c r="E248" s="543"/>
      <c r="F248" s="543"/>
      <c r="G248" s="543"/>
      <c r="H248" s="543"/>
      <c r="I248" s="543"/>
      <c r="J248" s="543"/>
      <c r="K248" s="543"/>
      <c r="L248" s="543"/>
      <c r="M248" s="543"/>
      <c r="N248" s="384"/>
      <c r="O248" s="385"/>
      <c r="P248" s="384"/>
      <c r="Q248" s="386"/>
      <c r="R248" s="384"/>
      <c r="S248" s="151"/>
      <c r="T248" s="392"/>
      <c r="U248" s="384"/>
      <c r="V248" s="388"/>
      <c r="W248" s="384"/>
      <c r="X248" s="389"/>
      <c r="Y248" s="4"/>
      <c r="Z248" s="26"/>
    </row>
    <row r="249" spans="2:26" ht="7.5" customHeight="1">
      <c r="B249" s="25"/>
      <c r="C249" s="551"/>
      <c r="D249" s="551"/>
      <c r="E249" s="551"/>
      <c r="F249" s="551"/>
      <c r="G249" s="551"/>
      <c r="H249" s="551"/>
      <c r="I249" s="551"/>
      <c r="J249" s="551"/>
      <c r="K249" s="551"/>
      <c r="L249" s="551"/>
      <c r="M249" s="551"/>
      <c r="N249" s="4"/>
      <c r="O249" s="91"/>
      <c r="P249" s="4"/>
      <c r="Q249" s="92"/>
      <c r="R249" s="4"/>
      <c r="S249" s="4"/>
      <c r="T249" s="105"/>
      <c r="U249" s="4"/>
      <c r="V249" s="94"/>
      <c r="W249" s="4"/>
      <c r="X249" s="95"/>
      <c r="Y249" s="4"/>
      <c r="Z249" s="26"/>
    </row>
    <row r="250" spans="2:26" ht="16.5" customHeight="1">
      <c r="B250" s="25"/>
      <c r="C250" s="537" t="s">
        <v>123</v>
      </c>
      <c r="D250" s="538"/>
      <c r="E250" s="538"/>
      <c r="F250" s="538"/>
      <c r="G250" s="538"/>
      <c r="H250" s="538"/>
      <c r="I250" s="538"/>
      <c r="J250" s="538"/>
      <c r="K250" s="538"/>
      <c r="L250" s="538"/>
      <c r="M250" s="538"/>
      <c r="N250" s="198"/>
      <c r="O250" s="91"/>
      <c r="P250" s="4"/>
      <c r="Q250" s="92"/>
      <c r="R250" s="4"/>
      <c r="S250" s="4"/>
      <c r="T250" s="105"/>
      <c r="U250" s="4"/>
      <c r="V250" s="94"/>
      <c r="W250" s="4"/>
      <c r="X250" s="95"/>
      <c r="Y250" s="4"/>
      <c r="Z250" s="26"/>
    </row>
    <row r="251" spans="2:26" ht="12.75">
      <c r="B251" s="25"/>
      <c r="C251" s="500"/>
      <c r="D251" s="372"/>
      <c r="E251" s="371"/>
      <c r="F251" s="370"/>
      <c r="G251" s="370"/>
      <c r="H251" s="370"/>
      <c r="I251" s="370"/>
      <c r="J251" s="370"/>
      <c r="K251" s="370"/>
      <c r="L251" s="370"/>
      <c r="M251" s="370"/>
      <c r="N251" s="198"/>
      <c r="O251" s="91"/>
      <c r="P251" s="4"/>
      <c r="Q251" s="92"/>
      <c r="R251" s="4"/>
      <c r="S251" s="4"/>
      <c r="T251" s="105"/>
      <c r="U251" s="4"/>
      <c r="V251" s="94"/>
      <c r="W251" s="4"/>
      <c r="X251" s="95"/>
      <c r="Y251" s="4"/>
      <c r="Z251" s="26"/>
    </row>
    <row r="252" spans="2:26" ht="6.75" customHeight="1" thickBot="1">
      <c r="B252" s="27"/>
      <c r="C252" s="28"/>
      <c r="D252" s="28"/>
      <c r="E252" s="369"/>
      <c r="F252" s="369"/>
      <c r="G252" s="369"/>
      <c r="H252" s="369"/>
      <c r="I252" s="369"/>
      <c r="J252" s="369"/>
      <c r="K252" s="369"/>
      <c r="L252" s="28"/>
      <c r="M252" s="28"/>
      <c r="N252" s="28"/>
      <c r="O252" s="125"/>
      <c r="P252" s="28"/>
      <c r="Q252" s="135"/>
      <c r="R252" s="28"/>
      <c r="S252" s="28"/>
      <c r="T252" s="136"/>
      <c r="U252" s="28"/>
      <c r="V252" s="153"/>
      <c r="W252" s="28"/>
      <c r="X252" s="162"/>
      <c r="Y252" s="28"/>
      <c r="Z252" s="29"/>
    </row>
    <row r="253" spans="2:28" ht="9.75" customHeight="1" thickBo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91"/>
      <c r="P253" s="4"/>
      <c r="Q253" s="92"/>
      <c r="R253" s="4"/>
      <c r="S253" s="4"/>
      <c r="T253" s="105"/>
      <c r="U253" s="4"/>
      <c r="V253" s="94"/>
      <c r="W253" s="4"/>
      <c r="X253" s="95"/>
      <c r="Y253" s="4"/>
      <c r="Z253" s="4"/>
      <c r="AB253" s="4"/>
    </row>
    <row r="254" spans="2:26" ht="5.25" customHeight="1">
      <c r="B254" s="22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124"/>
      <c r="P254" s="23"/>
      <c r="Q254" s="133"/>
      <c r="R254" s="23"/>
      <c r="S254" s="23"/>
      <c r="T254" s="134"/>
      <c r="U254" s="23"/>
      <c r="V254" s="152"/>
      <c r="W254" s="23"/>
      <c r="X254" s="161"/>
      <c r="Y254" s="23"/>
      <c r="Z254" s="24"/>
    </row>
    <row r="255" spans="2:26" ht="12.75">
      <c r="B255" s="25"/>
      <c r="C255" s="393" t="s">
        <v>124</v>
      </c>
      <c r="D255" s="109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91"/>
      <c r="P255" s="4"/>
      <c r="Q255" s="92"/>
      <c r="R255" s="4"/>
      <c r="S255" s="4"/>
      <c r="T255" s="105"/>
      <c r="U255" s="4"/>
      <c r="V255" s="94"/>
      <c r="W255" s="4"/>
      <c r="X255" s="95"/>
      <c r="Y255" s="4"/>
      <c r="Z255" s="26"/>
    </row>
    <row r="256" spans="2:26" ht="6.75" customHeight="1" thickBot="1">
      <c r="B256" s="25"/>
      <c r="C256" s="109"/>
      <c r="D256" s="109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91"/>
      <c r="P256" s="4"/>
      <c r="Q256" s="92"/>
      <c r="R256" s="4"/>
      <c r="S256" s="4"/>
      <c r="T256" s="105"/>
      <c r="U256" s="4"/>
      <c r="V256" s="94"/>
      <c r="W256" s="4"/>
      <c r="X256" s="95"/>
      <c r="Y256" s="4"/>
      <c r="Z256" s="26"/>
    </row>
    <row r="257" spans="2:26" ht="4.5" customHeight="1">
      <c r="B257" s="25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124"/>
      <c r="P257" s="23"/>
      <c r="Q257" s="133"/>
      <c r="R257" s="23"/>
      <c r="S257" s="23"/>
      <c r="T257" s="134"/>
      <c r="U257" s="23"/>
      <c r="V257" s="152"/>
      <c r="W257" s="23"/>
      <c r="X257" s="161"/>
      <c r="Y257" s="23"/>
      <c r="Z257" s="26"/>
    </row>
    <row r="258" spans="2:26" s="14" customFormat="1" ht="18" customHeight="1" thickBot="1">
      <c r="B258" s="112"/>
      <c r="C258" s="528" t="s">
        <v>230</v>
      </c>
      <c r="D258" s="524"/>
      <c r="E258" s="524"/>
      <c r="F258" s="524"/>
      <c r="G258" s="524"/>
      <c r="H258" s="524"/>
      <c r="I258" s="524"/>
      <c r="J258" s="524"/>
      <c r="K258" s="524"/>
      <c r="L258" s="524"/>
      <c r="M258" s="524"/>
      <c r="N258" s="115"/>
      <c r="O258" s="129"/>
      <c r="P258" s="115"/>
      <c r="Q258" s="143"/>
      <c r="R258" s="115"/>
      <c r="S258" s="151"/>
      <c r="T258" s="144"/>
      <c r="U258" s="115"/>
      <c r="V258" s="157"/>
      <c r="W258" s="115"/>
      <c r="X258" s="166"/>
      <c r="Y258" s="68"/>
      <c r="Z258" s="116"/>
    </row>
    <row r="259" spans="2:26" ht="15" customHeight="1">
      <c r="B259" s="25"/>
      <c r="C259" s="50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4"/>
      <c r="O259" s="91"/>
      <c r="P259" s="4"/>
      <c r="Q259" s="92"/>
      <c r="R259" s="4"/>
      <c r="S259" s="4"/>
      <c r="T259" s="105"/>
      <c r="U259" s="4"/>
      <c r="V259" s="94"/>
      <c r="W259" s="4"/>
      <c r="X259" s="95"/>
      <c r="Y259" s="4"/>
      <c r="Z259" s="26"/>
    </row>
    <row r="260" spans="2:26" ht="5.25" customHeight="1" thickBot="1">
      <c r="B260" s="25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125"/>
      <c r="P260" s="28"/>
      <c r="Q260" s="135"/>
      <c r="R260" s="28"/>
      <c r="S260" s="28"/>
      <c r="T260" s="136"/>
      <c r="U260" s="28"/>
      <c r="V260" s="153"/>
      <c r="W260" s="28"/>
      <c r="X260" s="162"/>
      <c r="Y260" s="28"/>
      <c r="Z260" s="26"/>
    </row>
    <row r="261" spans="2:28" ht="9.75" customHeight="1" thickBot="1">
      <c r="B261" s="2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91"/>
      <c r="P261" s="4"/>
      <c r="Q261" s="92"/>
      <c r="R261" s="4"/>
      <c r="S261" s="4"/>
      <c r="T261" s="105"/>
      <c r="U261" s="4"/>
      <c r="V261" s="94"/>
      <c r="W261" s="4"/>
      <c r="X261" s="95"/>
      <c r="Y261" s="4"/>
      <c r="Z261" s="26"/>
      <c r="AB261" s="4"/>
    </row>
    <row r="262" spans="2:26" ht="4.5" customHeight="1">
      <c r="B262" s="25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124"/>
      <c r="P262" s="23"/>
      <c r="Q262" s="133"/>
      <c r="R262" s="23"/>
      <c r="S262" s="23"/>
      <c r="T262" s="134"/>
      <c r="U262" s="23"/>
      <c r="V262" s="152"/>
      <c r="W262" s="23"/>
      <c r="X262" s="161"/>
      <c r="Y262" s="23"/>
      <c r="Z262" s="26"/>
    </row>
    <row r="263" spans="2:26" s="14" customFormat="1" ht="18" customHeight="1" thickBot="1">
      <c r="B263" s="112"/>
      <c r="C263" s="528" t="s">
        <v>125</v>
      </c>
      <c r="D263" s="524"/>
      <c r="E263" s="524"/>
      <c r="F263" s="524"/>
      <c r="G263" s="524"/>
      <c r="H263" s="524"/>
      <c r="I263" s="524"/>
      <c r="J263" s="524"/>
      <c r="K263" s="524"/>
      <c r="L263" s="524"/>
      <c r="M263" s="524"/>
      <c r="N263" s="115"/>
      <c r="O263" s="129"/>
      <c r="P263" s="115"/>
      <c r="Q263" s="143"/>
      <c r="R263" s="115"/>
      <c r="S263" s="151"/>
      <c r="T263" s="144"/>
      <c r="U263" s="115"/>
      <c r="V263" s="157"/>
      <c r="W263" s="115"/>
      <c r="X263" s="166"/>
      <c r="Y263" s="68"/>
      <c r="Z263" s="116"/>
    </row>
    <row r="264" spans="2:26" ht="15" customHeight="1">
      <c r="B264" s="25"/>
      <c r="C264" s="50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4"/>
      <c r="O264" s="91"/>
      <c r="P264" s="4"/>
      <c r="Q264" s="92"/>
      <c r="R264" s="4"/>
      <c r="S264" s="4"/>
      <c r="T264" s="105"/>
      <c r="U264" s="4"/>
      <c r="V264" s="94"/>
      <c r="W264" s="4"/>
      <c r="X264" s="95"/>
      <c r="Y264" s="4"/>
      <c r="Z264" s="26"/>
    </row>
    <row r="265" spans="2:26" ht="5.25" customHeight="1" thickBot="1">
      <c r="B265" s="25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125"/>
      <c r="P265" s="28"/>
      <c r="Q265" s="135"/>
      <c r="R265" s="28"/>
      <c r="S265" s="28"/>
      <c r="T265" s="136"/>
      <c r="U265" s="28"/>
      <c r="V265" s="153"/>
      <c r="W265" s="28"/>
      <c r="X265" s="162"/>
      <c r="Y265" s="28"/>
      <c r="Z265" s="26"/>
    </row>
    <row r="266" spans="2:26" ht="5.25" customHeight="1" thickBot="1">
      <c r="B266" s="27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125"/>
      <c r="P266" s="28"/>
      <c r="Q266" s="135"/>
      <c r="R266" s="28"/>
      <c r="S266" s="28"/>
      <c r="T266" s="136"/>
      <c r="U266" s="28"/>
      <c r="V266" s="153"/>
      <c r="W266" s="28"/>
      <c r="X266" s="162"/>
      <c r="Y266" s="28"/>
      <c r="Z266" s="29"/>
    </row>
    <row r="267" spans="2:26" ht="9" customHeight="1" thickBot="1">
      <c r="B267" s="4"/>
      <c r="C267" s="4"/>
      <c r="D267" s="4"/>
      <c r="E267" s="57"/>
      <c r="F267" s="57"/>
      <c r="G267" s="57"/>
      <c r="H267" s="57"/>
      <c r="I267" s="57"/>
      <c r="J267" s="57"/>
      <c r="K267" s="57"/>
      <c r="L267" s="4"/>
      <c r="M267" s="4"/>
      <c r="N267" s="4"/>
      <c r="O267" s="91"/>
      <c r="P267" s="4"/>
      <c r="Q267" s="92"/>
      <c r="R267" s="4"/>
      <c r="S267" s="4"/>
      <c r="T267" s="105"/>
      <c r="U267" s="4"/>
      <c r="V267" s="94"/>
      <c r="W267" s="4"/>
      <c r="X267" s="95"/>
      <c r="Y267" s="4"/>
      <c r="Z267" s="4"/>
    </row>
    <row r="268" spans="2:26" ht="4.5" customHeight="1">
      <c r="B268" s="22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124"/>
      <c r="P268" s="23"/>
      <c r="Q268" s="133"/>
      <c r="R268" s="23"/>
      <c r="S268" s="23"/>
      <c r="T268" s="134"/>
      <c r="U268" s="23"/>
      <c r="V268" s="152"/>
      <c r="W268" s="23"/>
      <c r="X268" s="161"/>
      <c r="Y268" s="23"/>
      <c r="Z268" s="24"/>
    </row>
    <row r="269" spans="2:26" ht="18" customHeight="1" thickBot="1">
      <c r="B269" s="25"/>
      <c r="C269" s="553" t="s">
        <v>206</v>
      </c>
      <c r="D269" s="538"/>
      <c r="E269" s="538"/>
      <c r="F269" s="538"/>
      <c r="G269" s="538"/>
      <c r="H269" s="538"/>
      <c r="I269" s="538"/>
      <c r="J269" s="538"/>
      <c r="K269" s="538"/>
      <c r="L269" s="538"/>
      <c r="M269" s="538"/>
      <c r="N269" s="198"/>
      <c r="O269" s="91"/>
      <c r="P269" s="4"/>
      <c r="Q269" s="92"/>
      <c r="R269" s="4"/>
      <c r="S269" s="151"/>
      <c r="T269" s="105"/>
      <c r="U269" s="4"/>
      <c r="V269" s="94"/>
      <c r="W269" s="4"/>
      <c r="X269" s="95"/>
      <c r="Y269" s="4"/>
      <c r="Z269" s="26"/>
    </row>
    <row r="270" spans="2:26" ht="6.75" customHeight="1">
      <c r="B270" s="25"/>
      <c r="C270" s="538"/>
      <c r="D270" s="538"/>
      <c r="E270" s="538"/>
      <c r="F270" s="538"/>
      <c r="G270" s="538"/>
      <c r="H270" s="538"/>
      <c r="I270" s="538"/>
      <c r="J270" s="538"/>
      <c r="K270" s="538"/>
      <c r="L270" s="538"/>
      <c r="M270" s="538"/>
      <c r="N270" s="198"/>
      <c r="O270" s="91"/>
      <c r="P270" s="4"/>
      <c r="Q270" s="92"/>
      <c r="R270" s="4"/>
      <c r="S270" s="4"/>
      <c r="T270" s="105"/>
      <c r="U270" s="4"/>
      <c r="V270" s="94"/>
      <c r="W270" s="4"/>
      <c r="X270" s="95"/>
      <c r="Y270" s="4"/>
      <c r="Z270" s="26"/>
    </row>
    <row r="271" spans="2:26" ht="12.75">
      <c r="B271" s="25"/>
      <c r="C271" s="501"/>
      <c r="D271" s="372"/>
      <c r="E271" s="371"/>
      <c r="F271" s="370"/>
      <c r="G271" s="370"/>
      <c r="H271" s="370"/>
      <c r="I271" s="370"/>
      <c r="J271" s="370"/>
      <c r="K271" s="370"/>
      <c r="L271" s="370"/>
      <c r="M271" s="370"/>
      <c r="N271" s="198"/>
      <c r="O271" s="91"/>
      <c r="P271" s="4"/>
      <c r="Q271" s="92"/>
      <c r="R271" s="4"/>
      <c r="S271" s="4"/>
      <c r="T271" s="105"/>
      <c r="U271" s="4"/>
      <c r="V271" s="94"/>
      <c r="W271" s="4"/>
      <c r="X271" s="95"/>
      <c r="Y271" s="4"/>
      <c r="Z271" s="26"/>
    </row>
    <row r="272" spans="2:26" ht="6.75" customHeight="1" thickBot="1">
      <c r="B272" s="27"/>
      <c r="C272" s="28"/>
      <c r="D272" s="28"/>
      <c r="E272" s="369"/>
      <c r="F272" s="369"/>
      <c r="G272" s="369"/>
      <c r="H272" s="369"/>
      <c r="I272" s="369"/>
      <c r="J272" s="369"/>
      <c r="K272" s="369"/>
      <c r="L272" s="28"/>
      <c r="M272" s="28"/>
      <c r="N272" s="28"/>
      <c r="O272" s="125"/>
      <c r="P272" s="28"/>
      <c r="Q272" s="135"/>
      <c r="R272" s="28"/>
      <c r="S272" s="28"/>
      <c r="T272" s="136"/>
      <c r="U272" s="28"/>
      <c r="V272" s="153"/>
      <c r="W272" s="28"/>
      <c r="X272" s="162"/>
      <c r="Y272" s="28"/>
      <c r="Z272" s="29"/>
    </row>
    <row r="273" spans="15:24" s="4" customFormat="1" ht="5.25" customHeight="1" thickBot="1">
      <c r="O273" s="119"/>
      <c r="Q273" s="120"/>
      <c r="R273" s="121"/>
      <c r="S273" s="121"/>
      <c r="T273" s="122"/>
      <c r="V273" s="123"/>
      <c r="X273" s="170"/>
    </row>
    <row r="274" ht="19.5" customHeight="1" thickBot="1"/>
    <row r="275" spans="2:25" ht="18.75" customHeight="1" thickBot="1">
      <c r="B275" s="83" t="s">
        <v>9</v>
      </c>
      <c r="C275" s="84"/>
      <c r="D275" s="32"/>
      <c r="E275" s="33"/>
      <c r="F275" s="34"/>
      <c r="G275" s="34"/>
      <c r="H275" s="34"/>
      <c r="I275" s="34"/>
      <c r="J275" s="34"/>
      <c r="K275" s="34"/>
      <c r="L275" s="34"/>
      <c r="M275" s="35"/>
      <c r="O275" s="85"/>
      <c r="P275" s="4"/>
      <c r="Q275" s="86"/>
      <c r="R275" s="87"/>
      <c r="S275" s="545"/>
      <c r="T275" s="88"/>
      <c r="U275" s="4"/>
      <c r="V275" s="89"/>
      <c r="W275" s="4"/>
      <c r="X275" s="90"/>
      <c r="Y275" s="4"/>
    </row>
    <row r="276" spans="3:25" ht="15.75" customHeight="1">
      <c r="C276" s="56"/>
      <c r="D276" s="30"/>
      <c r="E276" s="31"/>
      <c r="O276" s="91"/>
      <c r="P276" s="4"/>
      <c r="Q276" s="92"/>
      <c r="R276" s="4"/>
      <c r="S276" s="546"/>
      <c r="T276" s="93"/>
      <c r="U276" s="4"/>
      <c r="V276" s="94"/>
      <c r="W276" s="4"/>
      <c r="X276" s="95"/>
      <c r="Y276" s="4"/>
    </row>
    <row r="277" spans="15:25" ht="21" customHeight="1">
      <c r="O277" s="91"/>
      <c r="P277" s="4"/>
      <c r="Q277" s="92"/>
      <c r="R277" s="4"/>
      <c r="S277" s="546"/>
      <c r="T277" s="93"/>
      <c r="U277" s="4"/>
      <c r="V277" s="94"/>
      <c r="W277" s="4"/>
      <c r="X277" s="95"/>
      <c r="Y277" s="4"/>
    </row>
    <row r="278" spans="2:25" s="14" customFormat="1" ht="18">
      <c r="B278" s="96" t="s">
        <v>30</v>
      </c>
      <c r="C278" s="97"/>
      <c r="D278" s="98"/>
      <c r="E278" s="99"/>
      <c r="F278" s="100"/>
      <c r="G278" s="100"/>
      <c r="H278" s="100"/>
      <c r="I278" s="100"/>
      <c r="J278" s="100"/>
      <c r="K278" s="100"/>
      <c r="L278" s="100"/>
      <c r="M278" s="100"/>
      <c r="N278" s="68"/>
      <c r="O278" s="101"/>
      <c r="P278" s="68"/>
      <c r="Q278" s="102"/>
      <c r="R278" s="68"/>
      <c r="S278" s="546"/>
      <c r="T278" s="93"/>
      <c r="U278" s="68"/>
      <c r="V278" s="103"/>
      <c r="W278" s="68"/>
      <c r="X278" s="104"/>
      <c r="Y278" s="68"/>
    </row>
    <row r="279" spans="2:28" ht="9.75" customHeight="1" thickBo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91"/>
      <c r="P279" s="4"/>
      <c r="Q279" s="92"/>
      <c r="R279" s="4"/>
      <c r="S279" s="4"/>
      <c r="T279" s="105"/>
      <c r="U279" s="4"/>
      <c r="V279" s="94"/>
      <c r="W279" s="4"/>
      <c r="X279" s="95"/>
      <c r="Y279" s="4"/>
      <c r="Z279" s="4"/>
      <c r="AB279" s="4"/>
    </row>
    <row r="280" spans="2:28" ht="6" customHeight="1">
      <c r="B280" s="22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124"/>
      <c r="P280" s="23"/>
      <c r="Q280" s="133"/>
      <c r="R280" s="23"/>
      <c r="S280" s="23"/>
      <c r="T280" s="134"/>
      <c r="U280" s="23"/>
      <c r="V280" s="152"/>
      <c r="W280" s="23"/>
      <c r="X280" s="161"/>
      <c r="Y280" s="23"/>
      <c r="Z280" s="24"/>
      <c r="AB280" s="4"/>
    </row>
    <row r="281" spans="2:28" ht="6" customHeight="1">
      <c r="B281" s="2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91"/>
      <c r="P281" s="4"/>
      <c r="Q281" s="92"/>
      <c r="R281" s="4"/>
      <c r="S281" s="4"/>
      <c r="T281" s="105"/>
      <c r="U281" s="4"/>
      <c r="V281" s="94"/>
      <c r="W281" s="4"/>
      <c r="X281" s="95"/>
      <c r="Y281" s="4"/>
      <c r="Z281" s="26"/>
      <c r="AB281" s="4"/>
    </row>
    <row r="282" spans="2:28" s="14" customFormat="1" ht="18" customHeight="1" thickBot="1">
      <c r="B282" s="112"/>
      <c r="C282" s="114" t="s">
        <v>74</v>
      </c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115"/>
      <c r="O282" s="129"/>
      <c r="P282" s="115"/>
      <c r="Q282" s="143"/>
      <c r="R282" s="115"/>
      <c r="S282" s="151"/>
      <c r="T282" s="144"/>
      <c r="U282" s="115"/>
      <c r="V282" s="157"/>
      <c r="W282" s="115"/>
      <c r="X282" s="166"/>
      <c r="Y282" s="68"/>
      <c r="Z282" s="116"/>
      <c r="AB282" s="68"/>
    </row>
    <row r="283" spans="2:28" ht="6" customHeight="1">
      <c r="B283" s="2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91"/>
      <c r="P283" s="4"/>
      <c r="Q283" s="92"/>
      <c r="R283" s="4"/>
      <c r="S283" s="4"/>
      <c r="T283" s="105"/>
      <c r="U283" s="4"/>
      <c r="V283" s="94"/>
      <c r="W283" s="4"/>
      <c r="X283" s="95"/>
      <c r="Y283" s="4"/>
      <c r="Z283" s="26"/>
      <c r="AB283" s="4"/>
    </row>
    <row r="284" spans="2:28" s="14" customFormat="1" ht="18" customHeight="1">
      <c r="B284" s="112"/>
      <c r="C284" s="114" t="s">
        <v>39</v>
      </c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101"/>
      <c r="P284" s="68"/>
      <c r="Q284" s="102"/>
      <c r="R284" s="68"/>
      <c r="S284" s="118"/>
      <c r="T284" s="117"/>
      <c r="U284" s="68"/>
      <c r="V284" s="103"/>
      <c r="W284" s="68"/>
      <c r="X284" s="104"/>
      <c r="Y284" s="68"/>
      <c r="Z284" s="116"/>
      <c r="AB284" s="68"/>
    </row>
    <row r="285" spans="2:28" ht="6" customHeight="1">
      <c r="B285" s="2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91"/>
      <c r="P285" s="4"/>
      <c r="Q285" s="92"/>
      <c r="R285" s="4"/>
      <c r="S285" s="4"/>
      <c r="T285" s="105"/>
      <c r="U285" s="4"/>
      <c r="V285" s="94"/>
      <c r="W285" s="4"/>
      <c r="X285" s="95"/>
      <c r="Y285" s="4"/>
      <c r="Z285" s="26"/>
      <c r="AB285" s="4"/>
    </row>
    <row r="286" spans="2:26" ht="5.25" customHeight="1">
      <c r="B286" s="2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224"/>
      <c r="O286" s="91"/>
      <c r="P286" s="4"/>
      <c r="Q286" s="92"/>
      <c r="R286" s="4"/>
      <c r="S286" s="4"/>
      <c r="T286" s="105"/>
      <c r="U286" s="4"/>
      <c r="V286" s="94"/>
      <c r="W286" s="4"/>
      <c r="X286" s="95"/>
      <c r="Y286" s="4"/>
      <c r="Z286" s="26"/>
    </row>
    <row r="287" spans="2:26" s="14" customFormat="1" ht="18" customHeight="1" thickBot="1">
      <c r="B287" s="112"/>
      <c r="D287" s="114" t="s">
        <v>199</v>
      </c>
      <c r="E287" s="115"/>
      <c r="F287" s="115"/>
      <c r="G287" s="115"/>
      <c r="H287" s="115"/>
      <c r="I287" s="115"/>
      <c r="J287" s="115"/>
      <c r="K287" s="115"/>
      <c r="L287" s="115"/>
      <c r="M287" s="115"/>
      <c r="N287" s="225"/>
      <c r="O287" s="129"/>
      <c r="P287" s="115"/>
      <c r="Q287" s="143"/>
      <c r="R287" s="115"/>
      <c r="S287" s="151"/>
      <c r="T287" s="144"/>
      <c r="U287" s="115"/>
      <c r="V287" s="157"/>
      <c r="W287" s="115"/>
      <c r="X287" s="166"/>
      <c r="Y287" s="68"/>
      <c r="Z287" s="116"/>
    </row>
    <row r="288" spans="2:26" ht="15" customHeight="1">
      <c r="B288" s="25"/>
      <c r="C288" s="4"/>
      <c r="D288" s="500"/>
      <c r="E288" s="80"/>
      <c r="F288" s="80"/>
      <c r="G288" s="80"/>
      <c r="H288" s="80"/>
      <c r="I288" s="80"/>
      <c r="J288" s="80"/>
      <c r="K288" s="80"/>
      <c r="L288" s="80"/>
      <c r="M288" s="80"/>
      <c r="N288" s="224"/>
      <c r="O288" s="91"/>
      <c r="P288" s="4"/>
      <c r="Q288" s="92"/>
      <c r="R288" s="4"/>
      <c r="S288" s="4"/>
      <c r="T288" s="105"/>
      <c r="U288" s="4"/>
      <c r="V288" s="94"/>
      <c r="W288" s="4"/>
      <c r="X288" s="95"/>
      <c r="Y288" s="4"/>
      <c r="Z288" s="26"/>
    </row>
    <row r="289" spans="2:26" ht="5.25" customHeight="1">
      <c r="B289" s="2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224"/>
      <c r="O289" s="91"/>
      <c r="P289" s="4"/>
      <c r="Q289" s="92"/>
      <c r="R289" s="4"/>
      <c r="S289" s="4"/>
      <c r="T289" s="105"/>
      <c r="U289" s="4"/>
      <c r="V289" s="94"/>
      <c r="W289" s="4"/>
      <c r="X289" s="95"/>
      <c r="Y289" s="4"/>
      <c r="Z289" s="26"/>
    </row>
    <row r="290" spans="2:26" s="4" customFormat="1" ht="6" customHeight="1">
      <c r="B290" s="25"/>
      <c r="N290" s="224"/>
      <c r="O290" s="91"/>
      <c r="Q290" s="92"/>
      <c r="T290" s="105"/>
      <c r="V290" s="94"/>
      <c r="X290" s="95"/>
      <c r="Z290" s="26"/>
    </row>
    <row r="291" spans="2:26" ht="5.25" customHeight="1">
      <c r="B291" s="2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224"/>
      <c r="O291" s="91"/>
      <c r="P291" s="4"/>
      <c r="Q291" s="92"/>
      <c r="R291" s="4"/>
      <c r="S291" s="4"/>
      <c r="T291" s="105"/>
      <c r="U291" s="4"/>
      <c r="V291" s="94"/>
      <c r="W291" s="4"/>
      <c r="X291" s="95"/>
      <c r="Y291" s="4"/>
      <c r="Z291" s="26"/>
    </row>
    <row r="292" spans="2:26" s="14" customFormat="1" ht="18" customHeight="1" thickBot="1">
      <c r="B292" s="112"/>
      <c r="C292" s="68"/>
      <c r="D292" s="528" t="s">
        <v>31</v>
      </c>
      <c r="E292" s="507"/>
      <c r="F292" s="507"/>
      <c r="G292" s="507"/>
      <c r="H292" s="507"/>
      <c r="I292" s="507"/>
      <c r="J292" s="507"/>
      <c r="K292" s="507"/>
      <c r="L292" s="507"/>
      <c r="M292" s="507"/>
      <c r="N292" s="530"/>
      <c r="O292" s="129"/>
      <c r="P292" s="115"/>
      <c r="Q292" s="143"/>
      <c r="R292" s="115"/>
      <c r="S292" s="151"/>
      <c r="T292" s="144"/>
      <c r="U292" s="115"/>
      <c r="V292" s="157"/>
      <c r="W292" s="115"/>
      <c r="X292" s="166"/>
      <c r="Y292" s="68"/>
      <c r="Z292" s="116"/>
    </row>
    <row r="293" spans="2:26" s="14" customFormat="1" ht="6.75" customHeight="1">
      <c r="B293" s="112"/>
      <c r="C293" s="68"/>
      <c r="D293" s="529"/>
      <c r="E293" s="529"/>
      <c r="F293" s="529"/>
      <c r="G293" s="529"/>
      <c r="H293" s="529"/>
      <c r="I293" s="529"/>
      <c r="J293" s="529"/>
      <c r="K293" s="529"/>
      <c r="L293" s="529"/>
      <c r="M293" s="529"/>
      <c r="N293" s="530"/>
      <c r="O293" s="129"/>
      <c r="P293" s="115"/>
      <c r="Q293" s="143"/>
      <c r="R293" s="115"/>
      <c r="S293" s="118"/>
      <c r="T293" s="144"/>
      <c r="U293" s="115"/>
      <c r="V293" s="157"/>
      <c r="W293" s="115"/>
      <c r="X293" s="166"/>
      <c r="Y293" s="68"/>
      <c r="Z293" s="116"/>
    </row>
    <row r="294" spans="2:26" ht="25.5" customHeight="1">
      <c r="B294" s="25"/>
      <c r="C294" s="75"/>
      <c r="D294" s="547" t="s">
        <v>32</v>
      </c>
      <c r="E294" s="524"/>
      <c r="F294" s="524"/>
      <c r="G294" s="524"/>
      <c r="H294" s="524"/>
      <c r="I294" s="524"/>
      <c r="J294" s="524"/>
      <c r="K294" s="524"/>
      <c r="L294" s="524"/>
      <c r="M294" s="524"/>
      <c r="N294" s="552"/>
      <c r="O294" s="91"/>
      <c r="P294" s="4"/>
      <c r="Q294" s="92"/>
      <c r="R294" s="4"/>
      <c r="S294" s="4"/>
      <c r="T294" s="105"/>
      <c r="U294" s="4"/>
      <c r="V294" s="94"/>
      <c r="W294" s="4"/>
      <c r="X294" s="95"/>
      <c r="Y294" s="4"/>
      <c r="Z294" s="26"/>
    </row>
    <row r="295" spans="2:26" ht="15" customHeight="1">
      <c r="B295" s="25"/>
      <c r="C295" s="4"/>
      <c r="D295" s="500"/>
      <c r="E295" s="80"/>
      <c r="F295" s="80"/>
      <c r="G295" s="80"/>
      <c r="H295" s="80"/>
      <c r="I295" s="80"/>
      <c r="J295" s="80"/>
      <c r="K295" s="80"/>
      <c r="L295" s="80"/>
      <c r="M295" s="80"/>
      <c r="N295" s="224"/>
      <c r="O295" s="91"/>
      <c r="P295" s="4"/>
      <c r="Q295" s="92"/>
      <c r="R295" s="4"/>
      <c r="S295" s="4"/>
      <c r="T295" s="105"/>
      <c r="U295" s="4"/>
      <c r="V295" s="94"/>
      <c r="W295" s="4"/>
      <c r="X295" s="95"/>
      <c r="Y295" s="4"/>
      <c r="Z295" s="26"/>
    </row>
    <row r="296" spans="2:26" ht="5.25" customHeight="1">
      <c r="B296" s="2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224"/>
      <c r="O296" s="91"/>
      <c r="P296" s="4"/>
      <c r="Q296" s="92"/>
      <c r="R296" s="4"/>
      <c r="S296" s="4"/>
      <c r="T296" s="105"/>
      <c r="U296" s="4"/>
      <c r="V296" s="94"/>
      <c r="W296" s="4"/>
      <c r="X296" s="95"/>
      <c r="Y296" s="4"/>
      <c r="Z296" s="26"/>
    </row>
    <row r="297" spans="2:26" s="4" customFormat="1" ht="6" customHeight="1">
      <c r="B297" s="25"/>
      <c r="N297" s="224"/>
      <c r="O297" s="91"/>
      <c r="Q297" s="92"/>
      <c r="T297" s="105"/>
      <c r="V297" s="94"/>
      <c r="X297" s="95"/>
      <c r="Z297" s="26"/>
    </row>
    <row r="298" spans="2:26" ht="5.25" customHeight="1">
      <c r="B298" s="2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224"/>
      <c r="O298" s="91"/>
      <c r="P298" s="4"/>
      <c r="Q298" s="92"/>
      <c r="R298" s="4"/>
      <c r="S298" s="4"/>
      <c r="T298" s="105"/>
      <c r="U298" s="4"/>
      <c r="V298" s="94"/>
      <c r="W298" s="4"/>
      <c r="X298" s="95"/>
      <c r="Y298" s="4"/>
      <c r="Z298" s="26"/>
    </row>
    <row r="299" spans="2:26" s="14" customFormat="1" ht="18" customHeight="1" thickBot="1">
      <c r="B299" s="112"/>
      <c r="C299" s="114"/>
      <c r="D299" s="114" t="s">
        <v>234</v>
      </c>
      <c r="E299" s="115"/>
      <c r="F299" s="115"/>
      <c r="G299" s="115"/>
      <c r="H299" s="115"/>
      <c r="I299" s="115"/>
      <c r="J299" s="115"/>
      <c r="K299" s="115"/>
      <c r="L299" s="115"/>
      <c r="M299" s="115"/>
      <c r="N299" s="225"/>
      <c r="O299" s="129"/>
      <c r="P299" s="115"/>
      <c r="Q299" s="143"/>
      <c r="R299" s="115"/>
      <c r="S299" s="151"/>
      <c r="T299" s="144"/>
      <c r="U299" s="115"/>
      <c r="V299" s="157"/>
      <c r="W299" s="115"/>
      <c r="X299" s="166"/>
      <c r="Y299" s="68"/>
      <c r="Z299" s="116"/>
    </row>
    <row r="300" spans="2:26" ht="15" customHeight="1">
      <c r="B300" s="25"/>
      <c r="C300" s="4"/>
      <c r="D300" s="500"/>
      <c r="E300" s="80"/>
      <c r="F300" s="80"/>
      <c r="G300" s="80"/>
      <c r="H300" s="80"/>
      <c r="I300" s="80"/>
      <c r="J300" s="80"/>
      <c r="K300" s="80"/>
      <c r="L300" s="80"/>
      <c r="M300" s="80"/>
      <c r="N300" s="224"/>
      <c r="O300" s="91"/>
      <c r="P300" s="4"/>
      <c r="Q300" s="92"/>
      <c r="R300" s="4"/>
      <c r="S300" s="4"/>
      <c r="T300" s="105"/>
      <c r="U300" s="4"/>
      <c r="V300" s="94"/>
      <c r="W300" s="4"/>
      <c r="X300" s="95"/>
      <c r="Y300" s="4"/>
      <c r="Z300" s="26"/>
    </row>
    <row r="301" spans="2:26" ht="5.25" customHeight="1">
      <c r="B301" s="2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224"/>
      <c r="O301" s="91"/>
      <c r="P301" s="4"/>
      <c r="Q301" s="92"/>
      <c r="R301" s="4"/>
      <c r="S301" s="4"/>
      <c r="T301" s="105"/>
      <c r="U301" s="4"/>
      <c r="V301" s="94"/>
      <c r="W301" s="4"/>
      <c r="X301" s="95"/>
      <c r="Y301" s="4"/>
      <c r="Z301" s="26"/>
    </row>
    <row r="302" spans="2:26" s="4" customFormat="1" ht="5.25" customHeight="1" thickBot="1">
      <c r="B302" s="27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125"/>
      <c r="P302" s="28"/>
      <c r="Q302" s="135"/>
      <c r="R302" s="28"/>
      <c r="S302" s="28"/>
      <c r="T302" s="136"/>
      <c r="U302" s="28"/>
      <c r="V302" s="153"/>
      <c r="W302" s="28"/>
      <c r="X302" s="162"/>
      <c r="Y302" s="28"/>
      <c r="Z302" s="29"/>
    </row>
    <row r="303" spans="15:24" ht="9" customHeight="1" thickBot="1">
      <c r="O303" s="91"/>
      <c r="Q303" s="92"/>
      <c r="R303" s="4"/>
      <c r="S303" s="4"/>
      <c r="T303" s="105"/>
      <c r="V303" s="94"/>
      <c r="X303" s="95"/>
    </row>
    <row r="304" spans="2:26" ht="5.25" customHeight="1">
      <c r="B304" s="22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124"/>
      <c r="P304" s="23"/>
      <c r="Q304" s="133"/>
      <c r="R304" s="23"/>
      <c r="S304" s="23"/>
      <c r="T304" s="134"/>
      <c r="U304" s="23"/>
      <c r="V304" s="152"/>
      <c r="W304" s="23"/>
      <c r="X304" s="161"/>
      <c r="Y304" s="23"/>
      <c r="Z304" s="24"/>
    </row>
    <row r="305" spans="2:26" s="14" customFormat="1" ht="18" customHeight="1" thickBot="1">
      <c r="B305" s="112"/>
      <c r="C305" s="114" t="s">
        <v>95</v>
      </c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115"/>
      <c r="O305" s="129"/>
      <c r="P305" s="115"/>
      <c r="Q305" s="143"/>
      <c r="R305" s="115"/>
      <c r="S305" s="151"/>
      <c r="T305" s="144"/>
      <c r="U305" s="115"/>
      <c r="V305" s="157"/>
      <c r="W305" s="115"/>
      <c r="X305" s="166"/>
      <c r="Y305" s="68"/>
      <c r="Z305" s="116"/>
    </row>
    <row r="306" spans="2:26" s="14" customFormat="1" ht="13.5" customHeight="1">
      <c r="B306" s="112"/>
      <c r="C306" s="234" t="s">
        <v>249</v>
      </c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115"/>
      <c r="O306" s="129"/>
      <c r="P306" s="115"/>
      <c r="Q306" s="143"/>
      <c r="R306" s="115"/>
      <c r="S306" s="118"/>
      <c r="T306" s="144"/>
      <c r="U306" s="115"/>
      <c r="V306" s="157"/>
      <c r="W306" s="115"/>
      <c r="X306" s="166"/>
      <c r="Y306" s="68"/>
      <c r="Z306" s="116"/>
    </row>
    <row r="307" spans="2:26" ht="15" customHeight="1">
      <c r="B307" s="25"/>
      <c r="C307" s="50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4"/>
      <c r="O307" s="91"/>
      <c r="P307" s="4"/>
      <c r="Q307" s="92"/>
      <c r="R307" s="4"/>
      <c r="S307" s="4"/>
      <c r="T307" s="105"/>
      <c r="U307" s="4"/>
      <c r="V307" s="94"/>
      <c r="W307" s="4"/>
      <c r="X307" s="95"/>
      <c r="Y307" s="4"/>
      <c r="Z307" s="26"/>
    </row>
    <row r="308" spans="2:26" ht="5.25" customHeight="1" thickBot="1">
      <c r="B308" s="27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125"/>
      <c r="P308" s="28"/>
      <c r="Q308" s="135"/>
      <c r="R308" s="28"/>
      <c r="S308" s="28"/>
      <c r="T308" s="136"/>
      <c r="U308" s="28"/>
      <c r="V308" s="153"/>
      <c r="W308" s="28"/>
      <c r="X308" s="162"/>
      <c r="Y308" s="28"/>
      <c r="Z308" s="29"/>
    </row>
    <row r="309" spans="15:24" ht="9" customHeight="1" thickBot="1">
      <c r="O309" s="91"/>
      <c r="Q309" s="92"/>
      <c r="R309" s="4"/>
      <c r="S309" s="4"/>
      <c r="T309" s="105"/>
      <c r="V309" s="94"/>
      <c r="X309" s="95"/>
    </row>
    <row r="310" spans="2:26" ht="5.25" customHeight="1">
      <c r="B310" s="22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124"/>
      <c r="P310" s="23"/>
      <c r="Q310" s="133"/>
      <c r="R310" s="23"/>
      <c r="S310" s="23"/>
      <c r="T310" s="134"/>
      <c r="U310" s="23"/>
      <c r="V310" s="152"/>
      <c r="W310" s="23"/>
      <c r="X310" s="161"/>
      <c r="Y310" s="23"/>
      <c r="Z310" s="24"/>
    </row>
    <row r="311" spans="2:26" ht="17.25" customHeight="1">
      <c r="B311" s="25"/>
      <c r="C311" s="226" t="s">
        <v>75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91"/>
      <c r="P311" s="4"/>
      <c r="Q311" s="92"/>
      <c r="R311" s="4"/>
      <c r="S311" s="4"/>
      <c r="T311" s="105"/>
      <c r="U311" s="4"/>
      <c r="V311" s="94"/>
      <c r="W311" s="4"/>
      <c r="X311" s="95"/>
      <c r="Y311" s="4"/>
      <c r="Z311" s="26"/>
    </row>
    <row r="312" spans="2:26" s="4" customFormat="1" ht="5.25" customHeight="1">
      <c r="B312" s="25"/>
      <c r="O312" s="91"/>
      <c r="Q312" s="92"/>
      <c r="T312" s="105"/>
      <c r="V312" s="94"/>
      <c r="X312" s="95"/>
      <c r="Z312" s="26"/>
    </row>
    <row r="313" spans="2:26" s="14" customFormat="1" ht="18" customHeight="1" thickBot="1">
      <c r="B313" s="112"/>
      <c r="C313" s="528" t="s">
        <v>88</v>
      </c>
      <c r="D313" s="507"/>
      <c r="E313" s="507"/>
      <c r="F313" s="507"/>
      <c r="G313" s="507"/>
      <c r="H313" s="507"/>
      <c r="I313" s="507"/>
      <c r="J313" s="507"/>
      <c r="K313" s="507"/>
      <c r="L313" s="507"/>
      <c r="M313" s="507"/>
      <c r="N313" s="115"/>
      <c r="O313" s="129"/>
      <c r="P313" s="115"/>
      <c r="Q313" s="143"/>
      <c r="R313" s="115"/>
      <c r="S313" s="151"/>
      <c r="T313" s="144"/>
      <c r="U313" s="115"/>
      <c r="V313" s="157"/>
      <c r="W313" s="115"/>
      <c r="X313" s="166"/>
      <c r="Y313" s="68"/>
      <c r="Z313" s="116"/>
    </row>
    <row r="314" spans="2:26" s="14" customFormat="1" ht="8.25" customHeight="1">
      <c r="B314" s="112"/>
      <c r="C314" s="507"/>
      <c r="D314" s="507"/>
      <c r="E314" s="507"/>
      <c r="F314" s="507"/>
      <c r="G314" s="507"/>
      <c r="H314" s="507"/>
      <c r="I314" s="507"/>
      <c r="J314" s="507"/>
      <c r="K314" s="507"/>
      <c r="L314" s="507"/>
      <c r="M314" s="507"/>
      <c r="N314" s="115"/>
      <c r="O314" s="129"/>
      <c r="P314" s="115"/>
      <c r="Q314" s="143"/>
      <c r="R314" s="115"/>
      <c r="S314" s="118"/>
      <c r="T314" s="144"/>
      <c r="U314" s="115"/>
      <c r="V314" s="157"/>
      <c r="W314" s="115"/>
      <c r="X314" s="166"/>
      <c r="Y314" s="68"/>
      <c r="Z314" s="116"/>
    </row>
    <row r="315" spans="2:26" ht="15" customHeight="1">
      <c r="B315" s="25"/>
      <c r="C315" s="50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4"/>
      <c r="O315" s="91"/>
      <c r="P315" s="4"/>
      <c r="Q315" s="92"/>
      <c r="R315" s="4"/>
      <c r="S315" s="4"/>
      <c r="T315" s="105"/>
      <c r="U315" s="4"/>
      <c r="V315" s="94"/>
      <c r="W315" s="4"/>
      <c r="X315" s="95"/>
      <c r="Y315" s="4"/>
      <c r="Z315" s="26"/>
    </row>
    <row r="316" spans="2:26" ht="6.75" customHeight="1">
      <c r="B316" s="25"/>
      <c r="C316" s="4"/>
      <c r="D316" s="57"/>
      <c r="E316" s="57"/>
      <c r="F316" s="57"/>
      <c r="G316" s="57"/>
      <c r="H316" s="57"/>
      <c r="I316" s="57"/>
      <c r="J316" s="57"/>
      <c r="K316" s="4"/>
      <c r="L316" s="4"/>
      <c r="M316" s="4"/>
      <c r="N316" s="4"/>
      <c r="O316" s="91"/>
      <c r="P316" s="4"/>
      <c r="Q316" s="92"/>
      <c r="R316" s="4"/>
      <c r="S316" s="4"/>
      <c r="T316" s="105"/>
      <c r="U316" s="4"/>
      <c r="V316" s="94"/>
      <c r="W316" s="4"/>
      <c r="X316" s="95"/>
      <c r="Y316" s="4"/>
      <c r="Z316" s="26"/>
    </row>
    <row r="317" spans="2:26" ht="6.75" customHeight="1">
      <c r="B317" s="25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4"/>
      <c r="O317" s="91"/>
      <c r="P317" s="4"/>
      <c r="Q317" s="92"/>
      <c r="R317" s="4"/>
      <c r="S317" s="4"/>
      <c r="T317" s="105"/>
      <c r="U317" s="4"/>
      <c r="V317" s="94"/>
      <c r="W317" s="4"/>
      <c r="X317" s="95"/>
      <c r="Y317" s="4"/>
      <c r="Z317" s="26"/>
    </row>
    <row r="318" spans="2:26" ht="6.75" customHeight="1">
      <c r="B318" s="2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91"/>
      <c r="P318" s="4"/>
      <c r="Q318" s="92"/>
      <c r="R318" s="4"/>
      <c r="S318" s="4"/>
      <c r="T318" s="105"/>
      <c r="U318" s="4"/>
      <c r="V318" s="94"/>
      <c r="W318" s="4"/>
      <c r="X318" s="95"/>
      <c r="Y318" s="4"/>
      <c r="Z318" s="26"/>
    </row>
    <row r="319" spans="2:26" s="68" customFormat="1" ht="18" customHeight="1" thickBot="1">
      <c r="B319" s="112"/>
      <c r="C319" s="528" t="s">
        <v>76</v>
      </c>
      <c r="D319" s="507"/>
      <c r="E319" s="507"/>
      <c r="F319" s="507"/>
      <c r="G319" s="507"/>
      <c r="H319" s="507"/>
      <c r="I319" s="507"/>
      <c r="J319" s="507"/>
      <c r="K319" s="507"/>
      <c r="L319" s="507"/>
      <c r="M319" s="507"/>
      <c r="N319" s="115"/>
      <c r="O319" s="129"/>
      <c r="P319" s="115"/>
      <c r="Q319" s="143"/>
      <c r="R319" s="115"/>
      <c r="S319" s="151"/>
      <c r="T319" s="144"/>
      <c r="U319" s="115"/>
      <c r="V319" s="157"/>
      <c r="W319" s="115"/>
      <c r="X319" s="166"/>
      <c r="Z319" s="116"/>
    </row>
    <row r="320" spans="2:26" s="14" customFormat="1" ht="19.5" customHeight="1">
      <c r="B320" s="112"/>
      <c r="C320" s="507"/>
      <c r="D320" s="507"/>
      <c r="E320" s="507"/>
      <c r="F320" s="507"/>
      <c r="G320" s="507"/>
      <c r="H320" s="507"/>
      <c r="I320" s="507"/>
      <c r="J320" s="507"/>
      <c r="K320" s="507"/>
      <c r="L320" s="507"/>
      <c r="M320" s="507"/>
      <c r="N320" s="115"/>
      <c r="O320" s="129"/>
      <c r="P320" s="115"/>
      <c r="Q320" s="143"/>
      <c r="R320" s="115"/>
      <c r="S320" s="118"/>
      <c r="T320" s="144"/>
      <c r="U320" s="115"/>
      <c r="V320" s="157"/>
      <c r="W320" s="115"/>
      <c r="X320" s="166"/>
      <c r="Y320" s="68"/>
      <c r="Z320" s="116"/>
    </row>
    <row r="321" spans="2:26" s="69" customFormat="1" ht="12.75" customHeight="1">
      <c r="B321" s="70"/>
      <c r="C321" s="547" t="s">
        <v>34</v>
      </c>
      <c r="D321" s="533"/>
      <c r="E321" s="533"/>
      <c r="F321" s="533"/>
      <c r="G321" s="533"/>
      <c r="H321" s="533"/>
      <c r="I321" s="533"/>
      <c r="J321" s="533"/>
      <c r="K321" s="533"/>
      <c r="L321" s="533"/>
      <c r="M321" s="533"/>
      <c r="N321" s="75"/>
      <c r="O321" s="181"/>
      <c r="P321" s="75"/>
      <c r="Q321" s="182"/>
      <c r="R321" s="75"/>
      <c r="S321" s="75"/>
      <c r="T321" s="183"/>
      <c r="U321" s="75"/>
      <c r="V321" s="184"/>
      <c r="W321" s="75"/>
      <c r="X321" s="185"/>
      <c r="Y321" s="75"/>
      <c r="Z321" s="71"/>
    </row>
    <row r="322" spans="2:26" ht="15" customHeight="1">
      <c r="B322" s="25"/>
      <c r="C322" s="50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4"/>
      <c r="O322" s="91"/>
      <c r="P322" s="4"/>
      <c r="Q322" s="92"/>
      <c r="R322" s="4"/>
      <c r="S322" s="4"/>
      <c r="T322" s="105"/>
      <c r="U322" s="4"/>
      <c r="V322" s="94"/>
      <c r="W322" s="4"/>
      <c r="X322" s="95"/>
      <c r="Y322" s="4"/>
      <c r="Z322" s="26"/>
    </row>
    <row r="323" spans="2:26" ht="6.75" customHeight="1">
      <c r="B323" s="25"/>
      <c r="C323" s="4"/>
      <c r="D323" s="57"/>
      <c r="E323" s="57"/>
      <c r="F323" s="57"/>
      <c r="G323" s="57"/>
      <c r="H323" s="57"/>
      <c r="I323" s="57"/>
      <c r="J323" s="57"/>
      <c r="K323" s="4"/>
      <c r="L323" s="4"/>
      <c r="M323" s="4"/>
      <c r="N323" s="4"/>
      <c r="O323" s="91"/>
      <c r="P323" s="4"/>
      <c r="Q323" s="92"/>
      <c r="R323" s="4"/>
      <c r="S323" s="4"/>
      <c r="T323" s="105"/>
      <c r="U323" s="4"/>
      <c r="V323" s="94"/>
      <c r="W323" s="4"/>
      <c r="X323" s="95"/>
      <c r="Y323" s="4"/>
      <c r="Z323" s="26"/>
    </row>
    <row r="324" spans="2:26" ht="5.25" customHeight="1" thickBot="1">
      <c r="B324" s="27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125"/>
      <c r="P324" s="28"/>
      <c r="Q324" s="135"/>
      <c r="R324" s="28"/>
      <c r="S324" s="28"/>
      <c r="T324" s="136"/>
      <c r="U324" s="28"/>
      <c r="V324" s="153"/>
      <c r="W324" s="28"/>
      <c r="X324" s="162"/>
      <c r="Y324" s="28"/>
      <c r="Z324" s="29"/>
    </row>
    <row r="325" spans="2:26" ht="8.25" customHeight="1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91"/>
      <c r="P325" s="4"/>
      <c r="Q325" s="92"/>
      <c r="R325" s="4"/>
      <c r="S325" s="4"/>
      <c r="T325" s="105"/>
      <c r="U325" s="4"/>
      <c r="V325" s="94"/>
      <c r="W325" s="4"/>
      <c r="X325" s="95"/>
      <c r="Y325" s="4"/>
      <c r="Z325" s="4"/>
    </row>
    <row r="326" spans="2:24" s="68" customFormat="1" ht="18">
      <c r="B326" s="96" t="s">
        <v>33</v>
      </c>
      <c r="C326" s="97"/>
      <c r="D326" s="98"/>
      <c r="E326" s="99"/>
      <c r="F326" s="100"/>
      <c r="G326" s="100"/>
      <c r="H326" s="100"/>
      <c r="I326" s="100"/>
      <c r="J326" s="100"/>
      <c r="K326" s="100"/>
      <c r="L326" s="100"/>
      <c r="M326" s="100"/>
      <c r="O326" s="101"/>
      <c r="Q326" s="102"/>
      <c r="T326" s="117"/>
      <c r="V326" s="103"/>
      <c r="X326" s="104"/>
    </row>
    <row r="327" spans="2:28" ht="9.75" customHeight="1" thickBot="1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91"/>
      <c r="P327" s="4"/>
      <c r="Q327" s="92"/>
      <c r="R327" s="4"/>
      <c r="S327" s="4"/>
      <c r="T327" s="105"/>
      <c r="U327" s="4"/>
      <c r="V327" s="94"/>
      <c r="W327" s="4"/>
      <c r="X327" s="95"/>
      <c r="Y327" s="4"/>
      <c r="Z327" s="4"/>
      <c r="AB327" s="4"/>
    </row>
    <row r="328" spans="2:26" s="4" customFormat="1" ht="5.25" customHeight="1">
      <c r="B328" s="22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24"/>
      <c r="P328" s="23"/>
      <c r="Q328" s="133"/>
      <c r="R328" s="23"/>
      <c r="S328" s="23"/>
      <c r="T328" s="134"/>
      <c r="U328" s="23"/>
      <c r="V328" s="152"/>
      <c r="W328" s="23"/>
      <c r="X328" s="161"/>
      <c r="Y328" s="23"/>
      <c r="Z328" s="24"/>
    </row>
    <row r="329" spans="2:26" ht="4.5" customHeight="1">
      <c r="B329" s="2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91"/>
      <c r="P329" s="4"/>
      <c r="Q329" s="92"/>
      <c r="R329" s="4"/>
      <c r="S329" s="4"/>
      <c r="T329" s="105"/>
      <c r="U329" s="4"/>
      <c r="V329" s="94"/>
      <c r="W329" s="4"/>
      <c r="X329" s="95"/>
      <c r="Y329" s="4"/>
      <c r="Z329" s="26"/>
    </row>
    <row r="330" spans="2:26" ht="18" customHeight="1" thickBot="1">
      <c r="B330" s="25"/>
      <c r="C330" s="461" t="s">
        <v>202</v>
      </c>
      <c r="D330" s="398"/>
      <c r="E330" s="398"/>
      <c r="F330" s="398"/>
      <c r="G330" s="398"/>
      <c r="H330" s="398"/>
      <c r="I330" s="398"/>
      <c r="J330" s="398"/>
      <c r="K330" s="398"/>
      <c r="L330" s="398"/>
      <c r="M330" s="398"/>
      <c r="N330" s="111"/>
      <c r="O330" s="130"/>
      <c r="P330" s="111"/>
      <c r="Q330" s="145"/>
      <c r="R330" s="111"/>
      <c r="S330" s="151"/>
      <c r="T330" s="146"/>
      <c r="U330" s="111"/>
      <c r="V330" s="158"/>
      <c r="W330" s="111"/>
      <c r="X330" s="167"/>
      <c r="Y330" s="384"/>
      <c r="Z330" s="26"/>
    </row>
    <row r="331" spans="2:26" ht="13.5" customHeight="1">
      <c r="B331" s="25"/>
      <c r="C331" s="462" t="s">
        <v>247</v>
      </c>
      <c r="E331" s="37"/>
      <c r="F331" s="37"/>
      <c r="G331" s="37"/>
      <c r="H331" s="37"/>
      <c r="I331" s="37"/>
      <c r="J331" s="37"/>
      <c r="K331" s="37"/>
      <c r="L331" s="37"/>
      <c r="M331" s="37"/>
      <c r="N331" s="173"/>
      <c r="O331" s="174"/>
      <c r="P331" s="173"/>
      <c r="Q331" s="175"/>
      <c r="R331" s="173"/>
      <c r="S331" s="173"/>
      <c r="T331" s="176"/>
      <c r="U331" s="173"/>
      <c r="V331" s="186"/>
      <c r="W331" s="173"/>
      <c r="X331" s="177"/>
      <c r="Y331" s="384"/>
      <c r="Z331" s="26"/>
    </row>
    <row r="332" spans="2:26" ht="12.75" customHeight="1">
      <c r="B332" s="25"/>
      <c r="C332" s="390"/>
      <c r="D332" s="500"/>
      <c r="E332" s="371"/>
      <c r="F332" s="370"/>
      <c r="G332" s="370"/>
      <c r="H332" s="370"/>
      <c r="I332" s="370"/>
      <c r="J332" s="370"/>
      <c r="K332" s="370"/>
      <c r="L332" s="370"/>
      <c r="M332" s="370"/>
      <c r="N332" s="198"/>
      <c r="O332" s="91"/>
      <c r="P332" s="4"/>
      <c r="Q332" s="92"/>
      <c r="R332" s="4"/>
      <c r="S332" s="4"/>
      <c r="T332" s="105"/>
      <c r="U332" s="4"/>
      <c r="V332" s="94"/>
      <c r="W332" s="4"/>
      <c r="X332" s="95"/>
      <c r="Y332" s="4"/>
      <c r="Z332" s="26"/>
    </row>
    <row r="333" spans="2:26" ht="6.75" customHeight="1">
      <c r="B333" s="25"/>
      <c r="C333" s="4"/>
      <c r="D333" s="4"/>
      <c r="E333" s="57"/>
      <c r="F333" s="57"/>
      <c r="G333" s="57"/>
      <c r="H333" s="57"/>
      <c r="I333" s="57"/>
      <c r="J333" s="57"/>
      <c r="K333" s="57"/>
      <c r="L333" s="4"/>
      <c r="M333" s="4"/>
      <c r="N333" s="4"/>
      <c r="O333" s="91"/>
      <c r="P333" s="4"/>
      <c r="Q333" s="92"/>
      <c r="R333" s="4"/>
      <c r="S333" s="4"/>
      <c r="T333" s="105"/>
      <c r="U333" s="4"/>
      <c r="V333" s="94"/>
      <c r="W333" s="4"/>
      <c r="X333" s="95"/>
      <c r="Y333" s="4"/>
      <c r="Z333" s="26"/>
    </row>
    <row r="334" spans="2:26" s="4" customFormat="1" ht="6.75" customHeight="1">
      <c r="B334" s="25"/>
      <c r="E334" s="57"/>
      <c r="F334" s="57"/>
      <c r="G334" s="57"/>
      <c r="H334" s="57"/>
      <c r="I334" s="57"/>
      <c r="J334" s="57"/>
      <c r="K334" s="57"/>
      <c r="O334" s="91"/>
      <c r="Q334" s="92"/>
      <c r="T334" s="105"/>
      <c r="V334" s="94"/>
      <c r="X334" s="95"/>
      <c r="Z334" s="26"/>
    </row>
    <row r="335" spans="2:26" ht="4.5" customHeight="1">
      <c r="B335" s="2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91"/>
      <c r="P335" s="4"/>
      <c r="Q335" s="92"/>
      <c r="R335" s="4"/>
      <c r="S335" s="4"/>
      <c r="T335" s="105"/>
      <c r="U335" s="4"/>
      <c r="V335" s="94"/>
      <c r="W335" s="4"/>
      <c r="X335" s="95"/>
      <c r="Y335" s="4"/>
      <c r="Z335" s="26"/>
    </row>
    <row r="336" spans="2:26" ht="18" customHeight="1" thickBot="1">
      <c r="B336" s="25"/>
      <c r="C336" s="461" t="s">
        <v>248</v>
      </c>
      <c r="E336" s="398"/>
      <c r="F336" s="398"/>
      <c r="G336" s="398"/>
      <c r="H336" s="398"/>
      <c r="I336" s="398"/>
      <c r="J336" s="398"/>
      <c r="K336" s="398"/>
      <c r="L336" s="398"/>
      <c r="M336" s="398"/>
      <c r="N336" s="106"/>
      <c r="O336" s="126"/>
      <c r="P336" s="106"/>
      <c r="Q336" s="137"/>
      <c r="R336" s="106"/>
      <c r="S336" s="151"/>
      <c r="T336" s="138"/>
      <c r="U336" s="106"/>
      <c r="V336" s="154"/>
      <c r="W336" s="106"/>
      <c r="X336" s="163"/>
      <c r="Y336" s="4"/>
      <c r="Z336" s="26"/>
    </row>
    <row r="337" spans="2:26" ht="12.75">
      <c r="B337" s="25"/>
      <c r="C337" s="390"/>
      <c r="D337" s="500"/>
      <c r="E337" s="371"/>
      <c r="F337" s="370"/>
      <c r="G337" s="370"/>
      <c r="H337" s="370"/>
      <c r="I337" s="370"/>
      <c r="J337" s="370"/>
      <c r="K337" s="370"/>
      <c r="L337" s="370"/>
      <c r="M337" s="370"/>
      <c r="N337" s="198"/>
      <c r="O337" s="91"/>
      <c r="P337" s="4"/>
      <c r="Q337" s="92"/>
      <c r="R337" s="4"/>
      <c r="S337" s="4"/>
      <c r="T337" s="105"/>
      <c r="U337" s="4"/>
      <c r="V337" s="94"/>
      <c r="W337" s="4"/>
      <c r="X337" s="95"/>
      <c r="Y337" s="4"/>
      <c r="Z337" s="26"/>
    </row>
    <row r="338" spans="2:26" ht="6.75" customHeight="1" thickBot="1">
      <c r="B338" s="25"/>
      <c r="C338" s="28"/>
      <c r="D338" s="28"/>
      <c r="E338" s="369"/>
      <c r="F338" s="369"/>
      <c r="G338" s="369"/>
      <c r="H338" s="369"/>
      <c r="I338" s="369"/>
      <c r="J338" s="369"/>
      <c r="K338" s="369"/>
      <c r="L338" s="28"/>
      <c r="M338" s="28"/>
      <c r="N338" s="28"/>
      <c r="O338" s="125"/>
      <c r="P338" s="28"/>
      <c r="Q338" s="135"/>
      <c r="R338" s="28"/>
      <c r="S338" s="28"/>
      <c r="T338" s="136"/>
      <c r="U338" s="28"/>
      <c r="V338" s="153"/>
      <c r="W338" s="28"/>
      <c r="X338" s="162"/>
      <c r="Y338" s="28"/>
      <c r="Z338" s="26"/>
    </row>
    <row r="339" spans="2:26" ht="5.25" customHeight="1" thickBot="1">
      <c r="B339" s="27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125"/>
      <c r="P339" s="28"/>
      <c r="Q339" s="135"/>
      <c r="R339" s="28"/>
      <c r="S339" s="28"/>
      <c r="T339" s="136"/>
      <c r="U339" s="28"/>
      <c r="V339" s="153"/>
      <c r="W339" s="28"/>
      <c r="X339" s="162"/>
      <c r="Y339" s="28"/>
      <c r="Z339" s="29"/>
    </row>
    <row r="340" spans="2:26" ht="8.25" customHeight="1" thickBot="1">
      <c r="B340" s="4"/>
      <c r="C340" s="4"/>
      <c r="D340" s="4"/>
      <c r="E340" s="57"/>
      <c r="F340" s="57"/>
      <c r="G340" s="57"/>
      <c r="H340" s="57"/>
      <c r="I340" s="57"/>
      <c r="J340" s="57"/>
      <c r="K340" s="57"/>
      <c r="L340" s="4"/>
      <c r="M340" s="4"/>
      <c r="N340" s="4"/>
      <c r="O340" s="91"/>
      <c r="P340" s="4"/>
      <c r="Q340" s="92"/>
      <c r="R340" s="4"/>
      <c r="S340" s="4"/>
      <c r="T340" s="105"/>
      <c r="U340" s="4"/>
      <c r="V340" s="94"/>
      <c r="W340" s="4"/>
      <c r="X340" s="95"/>
      <c r="Y340" s="4"/>
      <c r="Z340" s="4"/>
    </row>
    <row r="341" spans="2:26" ht="6.75" customHeight="1">
      <c r="B341" s="22"/>
      <c r="C341" s="23"/>
      <c r="D341" s="23"/>
      <c r="E341" s="391"/>
      <c r="F341" s="391"/>
      <c r="G341" s="391"/>
      <c r="H341" s="391"/>
      <c r="I341" s="391"/>
      <c r="J341" s="391"/>
      <c r="K341" s="391"/>
      <c r="L341" s="23"/>
      <c r="M341" s="23"/>
      <c r="N341" s="23"/>
      <c r="O341" s="124"/>
      <c r="P341" s="23"/>
      <c r="Q341" s="133"/>
      <c r="R341" s="23"/>
      <c r="S341" s="23"/>
      <c r="T341" s="134"/>
      <c r="U341" s="23"/>
      <c r="V341" s="152"/>
      <c r="W341" s="23"/>
      <c r="X341" s="161"/>
      <c r="Y341" s="23"/>
      <c r="Z341" s="24"/>
    </row>
    <row r="342" spans="2:26" ht="18" customHeight="1" thickBot="1">
      <c r="B342" s="25"/>
      <c r="C342" s="531" t="s">
        <v>120</v>
      </c>
      <c r="D342" s="533"/>
      <c r="E342" s="533"/>
      <c r="F342" s="533"/>
      <c r="G342" s="533"/>
      <c r="H342" s="533"/>
      <c r="I342" s="533"/>
      <c r="J342" s="533"/>
      <c r="K342" s="533"/>
      <c r="L342" s="533"/>
      <c r="M342" s="533"/>
      <c r="N342" s="384"/>
      <c r="O342" s="385"/>
      <c r="P342" s="384"/>
      <c r="Q342" s="386"/>
      <c r="R342" s="384"/>
      <c r="S342" s="151"/>
      <c r="T342" s="392"/>
      <c r="U342" s="384"/>
      <c r="V342" s="388"/>
      <c r="W342" s="384"/>
      <c r="X342" s="389"/>
      <c r="Y342" s="4"/>
      <c r="Z342" s="26"/>
    </row>
    <row r="343" spans="2:26" ht="7.5" customHeight="1">
      <c r="B343" s="25"/>
      <c r="C343" s="303"/>
      <c r="D343" s="303"/>
      <c r="E343" s="303"/>
      <c r="F343" s="303"/>
      <c r="G343" s="303"/>
      <c r="H343" s="303"/>
      <c r="I343" s="303"/>
      <c r="J343" s="303"/>
      <c r="K343" s="303"/>
      <c r="L343" s="303"/>
      <c r="M343" s="303"/>
      <c r="N343" s="4"/>
      <c r="O343" s="91"/>
      <c r="P343" s="4"/>
      <c r="Q343" s="92"/>
      <c r="R343" s="4"/>
      <c r="S343" s="4"/>
      <c r="T343" s="105"/>
      <c r="U343" s="4"/>
      <c r="V343" s="94"/>
      <c r="W343" s="4"/>
      <c r="X343" s="95"/>
      <c r="Y343" s="4"/>
      <c r="Z343" s="26"/>
    </row>
    <row r="344" spans="2:26" ht="27.75" customHeight="1">
      <c r="B344" s="25"/>
      <c r="C344" s="542" t="s">
        <v>121</v>
      </c>
      <c r="D344" s="543"/>
      <c r="E344" s="543"/>
      <c r="F344" s="543"/>
      <c r="G344" s="543"/>
      <c r="H344" s="543"/>
      <c r="I344" s="543"/>
      <c r="J344" s="543"/>
      <c r="K344" s="543"/>
      <c r="L344" s="543"/>
      <c r="M344" s="543"/>
      <c r="N344" s="198"/>
      <c r="O344" s="91"/>
      <c r="P344" s="4"/>
      <c r="Q344" s="92"/>
      <c r="R344" s="4"/>
      <c r="S344" s="4"/>
      <c r="T344" s="105"/>
      <c r="U344" s="4"/>
      <c r="V344" s="94"/>
      <c r="W344" s="4"/>
      <c r="X344" s="95"/>
      <c r="Y344" s="4"/>
      <c r="Z344" s="26"/>
    </row>
    <row r="345" spans="2:26" ht="12.75">
      <c r="B345" s="25"/>
      <c r="C345" s="500"/>
      <c r="D345" s="372"/>
      <c r="E345" s="371"/>
      <c r="F345" s="370"/>
      <c r="G345" s="370"/>
      <c r="H345" s="370"/>
      <c r="I345" s="370"/>
      <c r="J345" s="370"/>
      <c r="K345" s="370"/>
      <c r="L345" s="370"/>
      <c r="M345" s="370"/>
      <c r="N345" s="198"/>
      <c r="O345" s="91"/>
      <c r="P345" s="4"/>
      <c r="Q345" s="92"/>
      <c r="R345" s="4"/>
      <c r="S345" s="4"/>
      <c r="T345" s="105"/>
      <c r="U345" s="4"/>
      <c r="V345" s="94"/>
      <c r="W345" s="4"/>
      <c r="X345" s="95"/>
      <c r="Y345" s="4"/>
      <c r="Z345" s="26"/>
    </row>
    <row r="346" spans="2:26" ht="6.75" customHeight="1" thickBot="1">
      <c r="B346" s="27"/>
      <c r="C346" s="28"/>
      <c r="D346" s="28"/>
      <c r="E346" s="369"/>
      <c r="F346" s="369"/>
      <c r="G346" s="369"/>
      <c r="H346" s="369"/>
      <c r="I346" s="369"/>
      <c r="J346" s="369"/>
      <c r="K346" s="369"/>
      <c r="L346" s="28"/>
      <c r="M346" s="28"/>
      <c r="N346" s="28"/>
      <c r="O346" s="125"/>
      <c r="P346" s="28"/>
      <c r="Q346" s="135"/>
      <c r="R346" s="28"/>
      <c r="S346" s="28"/>
      <c r="T346" s="136"/>
      <c r="U346" s="28"/>
      <c r="V346" s="153"/>
      <c r="W346" s="28"/>
      <c r="X346" s="162"/>
      <c r="Y346" s="28"/>
      <c r="Z346" s="29"/>
    </row>
    <row r="347" spans="15:24" ht="9" customHeight="1">
      <c r="O347" s="91"/>
      <c r="Q347" s="92"/>
      <c r="R347" s="4"/>
      <c r="S347" s="4"/>
      <c r="T347" s="105"/>
      <c r="V347" s="94"/>
      <c r="X347" s="95"/>
    </row>
    <row r="348" spans="2:24" s="68" customFormat="1" ht="18">
      <c r="B348" s="96" t="s">
        <v>35</v>
      </c>
      <c r="C348" s="97"/>
      <c r="D348" s="98"/>
      <c r="E348" s="99"/>
      <c r="F348" s="100"/>
      <c r="G348" s="100"/>
      <c r="H348" s="100"/>
      <c r="I348" s="100"/>
      <c r="J348" s="100"/>
      <c r="K348" s="100"/>
      <c r="L348" s="100"/>
      <c r="M348" s="100"/>
      <c r="O348" s="101"/>
      <c r="Q348" s="102"/>
      <c r="T348" s="117"/>
      <c r="V348" s="103"/>
      <c r="X348" s="104"/>
    </row>
    <row r="349" spans="15:24" ht="9" customHeight="1">
      <c r="O349" s="91"/>
      <c r="Q349" s="92"/>
      <c r="R349" s="4"/>
      <c r="S349" s="4"/>
      <c r="T349" s="105"/>
      <c r="V349" s="94"/>
      <c r="X349" s="95"/>
    </row>
    <row r="350" spans="3:24" ht="9" customHeight="1" thickBot="1">
      <c r="C350" s="30"/>
      <c r="D350" s="31"/>
      <c r="O350" s="91"/>
      <c r="Q350" s="92"/>
      <c r="R350" s="4"/>
      <c r="S350" s="4"/>
      <c r="T350" s="105"/>
      <c r="V350" s="94"/>
      <c r="X350" s="95"/>
    </row>
    <row r="351" spans="2:26" ht="4.5" customHeight="1">
      <c r="B351" s="22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24"/>
      <c r="P351" s="23"/>
      <c r="Q351" s="133"/>
      <c r="R351" s="23"/>
      <c r="S351" s="23"/>
      <c r="T351" s="134"/>
      <c r="U351" s="23"/>
      <c r="V351" s="152"/>
      <c r="W351" s="23"/>
      <c r="X351" s="161"/>
      <c r="Y351" s="23"/>
      <c r="Z351" s="24"/>
    </row>
    <row r="352" spans="2:26" s="14" customFormat="1" ht="18" customHeight="1" thickBot="1">
      <c r="B352" s="112"/>
      <c r="C352" s="528" t="s">
        <v>205</v>
      </c>
      <c r="D352" s="529"/>
      <c r="E352" s="529"/>
      <c r="F352" s="529"/>
      <c r="G352" s="529"/>
      <c r="H352" s="529"/>
      <c r="I352" s="529"/>
      <c r="J352" s="529"/>
      <c r="K352" s="529"/>
      <c r="L352" s="529"/>
      <c r="M352" s="529"/>
      <c r="N352" s="115"/>
      <c r="O352" s="129"/>
      <c r="P352" s="115"/>
      <c r="Q352" s="143"/>
      <c r="R352" s="115"/>
      <c r="S352" s="151"/>
      <c r="T352" s="144"/>
      <c r="U352" s="115"/>
      <c r="V352" s="157"/>
      <c r="W352" s="115"/>
      <c r="X352" s="166"/>
      <c r="Y352" s="68"/>
      <c r="Z352" s="116"/>
    </row>
    <row r="353" spans="2:26" s="14" customFormat="1" ht="6.75" customHeight="1">
      <c r="B353" s="112"/>
      <c r="C353" s="529"/>
      <c r="D353" s="529"/>
      <c r="E353" s="529"/>
      <c r="F353" s="529"/>
      <c r="G353" s="529"/>
      <c r="H353" s="529"/>
      <c r="I353" s="529"/>
      <c r="J353" s="529"/>
      <c r="K353" s="529"/>
      <c r="L353" s="529"/>
      <c r="M353" s="529"/>
      <c r="N353" s="115"/>
      <c r="O353" s="129"/>
      <c r="P353" s="115"/>
      <c r="Q353" s="143"/>
      <c r="R353" s="115"/>
      <c r="S353" s="118"/>
      <c r="T353" s="144"/>
      <c r="U353" s="115"/>
      <c r="V353" s="157"/>
      <c r="W353" s="115"/>
      <c r="X353" s="166"/>
      <c r="Y353" s="68"/>
      <c r="Z353" s="116"/>
    </row>
    <row r="354" spans="2:26" ht="15" customHeight="1">
      <c r="B354" s="25"/>
      <c r="C354" s="50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4"/>
      <c r="O354" s="91"/>
      <c r="P354" s="4"/>
      <c r="Q354" s="92"/>
      <c r="R354" s="4"/>
      <c r="S354" s="4"/>
      <c r="T354" s="105"/>
      <c r="U354" s="4"/>
      <c r="V354" s="94"/>
      <c r="W354" s="4"/>
      <c r="X354" s="95"/>
      <c r="Y354" s="4"/>
      <c r="Z354" s="26"/>
    </row>
    <row r="355" spans="2:26" ht="5.25" customHeight="1" thickBot="1">
      <c r="B355" s="27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125"/>
      <c r="P355" s="28"/>
      <c r="Q355" s="135"/>
      <c r="R355" s="28"/>
      <c r="S355" s="28"/>
      <c r="T355" s="136"/>
      <c r="U355" s="28"/>
      <c r="V355" s="153"/>
      <c r="W355" s="28"/>
      <c r="X355" s="162"/>
      <c r="Y355" s="28"/>
      <c r="Z355" s="29"/>
    </row>
    <row r="356" spans="15:26" ht="13.5" customHeight="1">
      <c r="O356" s="91"/>
      <c r="P356" s="4"/>
      <c r="Q356" s="92"/>
      <c r="R356" s="4"/>
      <c r="S356" s="4"/>
      <c r="T356" s="105"/>
      <c r="U356" s="4"/>
      <c r="V356" s="94"/>
      <c r="W356" s="4"/>
      <c r="X356" s="95"/>
      <c r="Y356" s="4"/>
      <c r="Z356" s="4"/>
    </row>
    <row r="357" spans="2:26" s="14" customFormat="1" ht="18" customHeight="1">
      <c r="B357" s="96"/>
      <c r="C357" s="535" t="s">
        <v>126</v>
      </c>
      <c r="D357" s="536"/>
      <c r="E357" s="536"/>
      <c r="F357" s="536"/>
      <c r="G357" s="536"/>
      <c r="H357" s="536"/>
      <c r="I357" s="536"/>
      <c r="J357" s="536"/>
      <c r="K357" s="536"/>
      <c r="L357" s="536"/>
      <c r="M357" s="536"/>
      <c r="N357" s="68"/>
      <c r="O357" s="101"/>
      <c r="P357" s="68"/>
      <c r="Q357" s="102"/>
      <c r="R357" s="68"/>
      <c r="S357" s="4"/>
      <c r="T357" s="93"/>
      <c r="U357" s="68"/>
      <c r="V357" s="103"/>
      <c r="W357" s="68"/>
      <c r="X357" s="104"/>
      <c r="Y357" s="68"/>
      <c r="Z357" s="68"/>
    </row>
    <row r="358" spans="2:26" ht="6.75" customHeight="1">
      <c r="B358" s="4"/>
      <c r="C358" s="4"/>
      <c r="D358" s="4"/>
      <c r="E358" s="57"/>
      <c r="F358" s="57"/>
      <c r="G358" s="57"/>
      <c r="H358" s="57"/>
      <c r="I358" s="57"/>
      <c r="J358" s="57"/>
      <c r="K358" s="57"/>
      <c r="L358" s="4"/>
      <c r="M358" s="4"/>
      <c r="N358" s="4"/>
      <c r="O358" s="91"/>
      <c r="P358" s="4"/>
      <c r="Q358" s="92"/>
      <c r="R358" s="4"/>
      <c r="S358" s="4"/>
      <c r="T358" s="105"/>
      <c r="U358" s="4"/>
      <c r="V358" s="94"/>
      <c r="W358" s="4"/>
      <c r="X358" s="95"/>
      <c r="Y358" s="4"/>
      <c r="Z358" s="4"/>
    </row>
    <row r="359" spans="2:26" ht="9" customHeight="1" thickBot="1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91"/>
      <c r="P359" s="4"/>
      <c r="Q359" s="92"/>
      <c r="R359" s="4"/>
      <c r="S359" s="4"/>
      <c r="T359" s="105"/>
      <c r="U359" s="4"/>
      <c r="V359" s="94"/>
      <c r="W359" s="4"/>
      <c r="X359" s="95"/>
      <c r="Z359" s="4"/>
    </row>
    <row r="360" spans="2:26" ht="4.5" customHeight="1">
      <c r="B360" s="22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24"/>
      <c r="P360" s="23"/>
      <c r="Q360" s="133"/>
      <c r="R360" s="23"/>
      <c r="S360" s="23"/>
      <c r="T360" s="134"/>
      <c r="U360" s="23"/>
      <c r="V360" s="152"/>
      <c r="W360" s="23"/>
      <c r="X360" s="161"/>
      <c r="Y360" s="23"/>
      <c r="Z360" s="24"/>
    </row>
    <row r="361" spans="2:26" ht="18" customHeight="1" thickBot="1">
      <c r="B361" s="25"/>
      <c r="C361" s="553" t="s">
        <v>127</v>
      </c>
      <c r="D361" s="527"/>
      <c r="E361" s="527"/>
      <c r="F361" s="527"/>
      <c r="G361" s="527"/>
      <c r="H361" s="527"/>
      <c r="I361" s="527"/>
      <c r="J361" s="527"/>
      <c r="K361" s="527"/>
      <c r="L361" s="527"/>
      <c r="M361" s="527"/>
      <c r="N361" s="106"/>
      <c r="O361" s="126"/>
      <c r="P361" s="106"/>
      <c r="Q361" s="137"/>
      <c r="R361" s="106"/>
      <c r="S361" s="151"/>
      <c r="T361" s="138"/>
      <c r="U361" s="106"/>
      <c r="V361" s="154"/>
      <c r="W361" s="106"/>
      <c r="X361" s="163"/>
      <c r="Y361" s="4"/>
      <c r="Z361" s="26"/>
    </row>
    <row r="362" spans="2:26" ht="6" customHeight="1">
      <c r="B362" s="25"/>
      <c r="C362" s="527"/>
      <c r="D362" s="527"/>
      <c r="E362" s="527"/>
      <c r="F362" s="527"/>
      <c r="G362" s="527"/>
      <c r="H362" s="527"/>
      <c r="I362" s="527"/>
      <c r="J362" s="527"/>
      <c r="K362" s="527"/>
      <c r="L362" s="527"/>
      <c r="M362" s="527"/>
      <c r="N362" s="106"/>
      <c r="O362" s="126"/>
      <c r="P362" s="106"/>
      <c r="Q362" s="137"/>
      <c r="R362" s="106"/>
      <c r="S362" s="58"/>
      <c r="T362" s="138"/>
      <c r="U362" s="106"/>
      <c r="V362" s="154"/>
      <c r="W362" s="106"/>
      <c r="X362" s="163"/>
      <c r="Y362" s="4"/>
      <c r="Z362" s="26"/>
    </row>
    <row r="363" spans="2:26" ht="12.75">
      <c r="B363" s="25"/>
      <c r="C363" s="500"/>
      <c r="D363" s="372"/>
      <c r="E363" s="371"/>
      <c r="F363" s="370"/>
      <c r="G363" s="370"/>
      <c r="H363" s="370"/>
      <c r="I363" s="370"/>
      <c r="J363" s="370"/>
      <c r="K363" s="370"/>
      <c r="L363" s="370"/>
      <c r="M363" s="370"/>
      <c r="N363" s="198"/>
      <c r="O363" s="91"/>
      <c r="P363" s="4"/>
      <c r="Q363" s="92"/>
      <c r="R363" s="4"/>
      <c r="S363" s="4"/>
      <c r="T363" s="105"/>
      <c r="U363" s="4"/>
      <c r="V363" s="94"/>
      <c r="W363" s="4"/>
      <c r="X363" s="95"/>
      <c r="Y363" s="4"/>
      <c r="Z363" s="26"/>
    </row>
    <row r="364" spans="2:26" ht="9" customHeight="1" thickBot="1">
      <c r="B364" s="27"/>
      <c r="C364" s="394"/>
      <c r="D364" s="395"/>
      <c r="E364" s="396"/>
      <c r="F364" s="397"/>
      <c r="G364" s="397"/>
      <c r="H364" s="397"/>
      <c r="I364" s="397"/>
      <c r="J364" s="397"/>
      <c r="K364" s="397"/>
      <c r="L364" s="397"/>
      <c r="M364" s="397"/>
      <c r="N364" s="397"/>
      <c r="O364" s="125"/>
      <c r="P364" s="28"/>
      <c r="Q364" s="135"/>
      <c r="R364" s="28"/>
      <c r="S364" s="28"/>
      <c r="T364" s="136"/>
      <c r="U364" s="28"/>
      <c r="V364" s="153"/>
      <c r="W364" s="28"/>
      <c r="X364" s="162"/>
      <c r="Y364" s="28"/>
      <c r="Z364" s="29"/>
    </row>
    <row r="365" spans="15:26" ht="13.5" customHeight="1">
      <c r="O365" s="91"/>
      <c r="P365" s="4"/>
      <c r="Q365" s="92"/>
      <c r="R365" s="4"/>
      <c r="S365" s="4"/>
      <c r="T365" s="105"/>
      <c r="U365" s="4"/>
      <c r="V365" s="94"/>
      <c r="W365" s="4"/>
      <c r="X365" s="95"/>
      <c r="Y365" s="4"/>
      <c r="Z365" s="4"/>
    </row>
    <row r="366" spans="2:26" s="14" customFormat="1" ht="18" customHeight="1">
      <c r="B366" s="96"/>
      <c r="C366" s="535" t="s">
        <v>26</v>
      </c>
      <c r="D366" s="536"/>
      <c r="E366" s="536"/>
      <c r="F366" s="536"/>
      <c r="G366" s="536"/>
      <c r="H366" s="536"/>
      <c r="I366" s="536"/>
      <c r="J366" s="536"/>
      <c r="K366" s="536"/>
      <c r="L366" s="536"/>
      <c r="M366" s="536"/>
      <c r="N366" s="68"/>
      <c r="O366" s="101"/>
      <c r="P366" s="68"/>
      <c r="Q366" s="102"/>
      <c r="R366" s="68"/>
      <c r="S366" s="4"/>
      <c r="T366" s="93"/>
      <c r="U366" s="68"/>
      <c r="V366" s="103"/>
      <c r="W366" s="68"/>
      <c r="X366" s="104"/>
      <c r="Y366" s="68"/>
      <c r="Z366" s="68"/>
    </row>
    <row r="367" spans="2:26" ht="9" customHeight="1" thickBot="1">
      <c r="B367" s="4"/>
      <c r="C367" s="4"/>
      <c r="D367" s="4"/>
      <c r="E367" s="57"/>
      <c r="F367" s="57"/>
      <c r="G367" s="57"/>
      <c r="H367" s="57"/>
      <c r="I367" s="57"/>
      <c r="J367" s="57"/>
      <c r="K367" s="57"/>
      <c r="L367" s="4"/>
      <c r="M367" s="4"/>
      <c r="N367" s="4"/>
      <c r="O367" s="91"/>
      <c r="P367" s="4"/>
      <c r="Q367" s="92"/>
      <c r="R367" s="4"/>
      <c r="S367" s="4"/>
      <c r="T367" s="105"/>
      <c r="U367" s="4"/>
      <c r="V367" s="94"/>
      <c r="W367" s="4"/>
      <c r="X367" s="95"/>
      <c r="Y367" s="4"/>
      <c r="Z367" s="4"/>
    </row>
    <row r="368" spans="2:26" ht="5.25" customHeight="1">
      <c r="B368" s="22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24"/>
      <c r="P368" s="23"/>
      <c r="Q368" s="133"/>
      <c r="R368" s="23"/>
      <c r="S368" s="23"/>
      <c r="T368" s="134"/>
      <c r="U368" s="23"/>
      <c r="V368" s="152"/>
      <c r="W368" s="23"/>
      <c r="X368" s="161"/>
      <c r="Y368" s="23"/>
      <c r="Z368" s="24"/>
    </row>
    <row r="369" spans="2:26" s="14" customFormat="1" ht="18" customHeight="1" thickBot="1">
      <c r="B369" s="112"/>
      <c r="C369" s="114" t="s">
        <v>71</v>
      </c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15"/>
      <c r="O369" s="129"/>
      <c r="P369" s="115"/>
      <c r="Q369" s="143"/>
      <c r="R369" s="115"/>
      <c r="S369" s="151"/>
      <c r="T369" s="144"/>
      <c r="U369" s="115"/>
      <c r="V369" s="157"/>
      <c r="W369" s="115"/>
      <c r="X369" s="166"/>
      <c r="Y369" s="68"/>
      <c r="Z369" s="116"/>
    </row>
    <row r="370" spans="2:26" ht="12" customHeight="1">
      <c r="B370" s="25"/>
      <c r="C370" s="110" t="s">
        <v>29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4"/>
      <c r="O370" s="91"/>
      <c r="P370" s="4"/>
      <c r="Q370" s="92"/>
      <c r="R370" s="4"/>
      <c r="S370" s="4"/>
      <c r="T370" s="105"/>
      <c r="U370" s="4"/>
      <c r="V370" s="94"/>
      <c r="W370" s="4"/>
      <c r="X370" s="95"/>
      <c r="Y370" s="4"/>
      <c r="Z370" s="26"/>
    </row>
    <row r="371" spans="2:26" ht="15" customHeight="1">
      <c r="B371" s="25"/>
      <c r="C371" s="50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4"/>
      <c r="O371" s="91"/>
      <c r="P371" s="4"/>
      <c r="Q371" s="92"/>
      <c r="R371" s="4"/>
      <c r="S371" s="4"/>
      <c r="T371" s="105"/>
      <c r="U371" s="4"/>
      <c r="V371" s="94"/>
      <c r="W371" s="4"/>
      <c r="X371" s="95"/>
      <c r="Y371" s="4"/>
      <c r="Z371" s="26"/>
    </row>
    <row r="372" spans="2:26" ht="9.75" customHeight="1" thickBot="1">
      <c r="B372" s="2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125"/>
      <c r="P372" s="28"/>
      <c r="Q372" s="135"/>
      <c r="R372" s="28"/>
      <c r="S372" s="28"/>
      <c r="T372" s="136"/>
      <c r="U372" s="28"/>
      <c r="V372" s="153"/>
      <c r="W372" s="28"/>
      <c r="X372" s="162"/>
      <c r="Y372" s="28"/>
      <c r="Z372" s="29"/>
    </row>
    <row r="373" spans="15:24" ht="9" customHeight="1" thickBot="1">
      <c r="O373" s="91"/>
      <c r="Q373" s="92"/>
      <c r="R373" s="4"/>
      <c r="S373" s="4"/>
      <c r="T373" s="105"/>
      <c r="V373" s="94"/>
      <c r="X373" s="95"/>
    </row>
    <row r="374" spans="2:26" ht="5.25" customHeight="1">
      <c r="B374" s="22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24"/>
      <c r="P374" s="23"/>
      <c r="Q374" s="133"/>
      <c r="R374" s="23"/>
      <c r="S374" s="23"/>
      <c r="T374" s="134"/>
      <c r="U374" s="23"/>
      <c r="V374" s="152"/>
      <c r="W374" s="23"/>
      <c r="X374" s="161"/>
      <c r="Y374" s="23"/>
      <c r="Z374" s="24"/>
    </row>
    <row r="375" spans="2:26" s="14" customFormat="1" ht="18" customHeight="1" thickBot="1">
      <c r="B375" s="112"/>
      <c r="C375" s="82" t="s">
        <v>36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115"/>
      <c r="O375" s="129"/>
      <c r="P375" s="115"/>
      <c r="Q375" s="143"/>
      <c r="R375" s="115"/>
      <c r="S375" s="151"/>
      <c r="T375" s="144"/>
      <c r="U375" s="115"/>
      <c r="V375" s="157"/>
      <c r="W375" s="115"/>
      <c r="X375" s="166"/>
      <c r="Y375" s="68"/>
      <c r="Z375" s="116"/>
    </row>
    <row r="376" spans="2:26" ht="15.75" customHeight="1">
      <c r="B376" s="25"/>
      <c r="C376" s="180" t="s">
        <v>37</v>
      </c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4"/>
      <c r="O376" s="91"/>
      <c r="P376" s="4"/>
      <c r="Q376" s="92"/>
      <c r="R376" s="4"/>
      <c r="S376" s="4"/>
      <c r="T376" s="105"/>
      <c r="U376" s="4"/>
      <c r="V376" s="94"/>
      <c r="W376" s="4"/>
      <c r="X376" s="95"/>
      <c r="Y376" s="4"/>
      <c r="Z376" s="26"/>
    </row>
    <row r="377" spans="2:26" ht="15" customHeight="1">
      <c r="B377" s="25"/>
      <c r="C377" s="50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4"/>
      <c r="O377" s="91"/>
      <c r="P377" s="4"/>
      <c r="Q377" s="92"/>
      <c r="R377" s="4"/>
      <c r="S377" s="4"/>
      <c r="T377" s="105"/>
      <c r="U377" s="4"/>
      <c r="V377" s="94"/>
      <c r="W377" s="4"/>
      <c r="X377" s="95"/>
      <c r="Y377" s="4"/>
      <c r="Z377" s="26"/>
    </row>
    <row r="378" spans="2:26" ht="5.25" customHeight="1" thickBot="1">
      <c r="B378" s="27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125"/>
      <c r="P378" s="28"/>
      <c r="Q378" s="135"/>
      <c r="R378" s="28"/>
      <c r="S378" s="28"/>
      <c r="T378" s="136"/>
      <c r="U378" s="28"/>
      <c r="V378" s="153"/>
      <c r="W378" s="28"/>
      <c r="X378" s="162"/>
      <c r="Y378" s="28"/>
      <c r="Z378" s="29"/>
    </row>
    <row r="379" spans="15:24" ht="9" customHeight="1" thickBot="1">
      <c r="O379" s="91"/>
      <c r="Q379" s="92"/>
      <c r="R379" s="4"/>
      <c r="S379" s="4"/>
      <c r="T379" s="105"/>
      <c r="V379" s="94"/>
      <c r="X379" s="95"/>
    </row>
    <row r="380" spans="2:26" ht="5.25" customHeight="1">
      <c r="B380" s="22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124"/>
      <c r="P380" s="23"/>
      <c r="Q380" s="133"/>
      <c r="R380" s="23"/>
      <c r="S380" s="23"/>
      <c r="T380" s="134"/>
      <c r="U380" s="23"/>
      <c r="V380" s="152"/>
      <c r="W380" s="23"/>
      <c r="X380" s="161"/>
      <c r="Y380" s="23"/>
      <c r="Z380" s="24"/>
    </row>
    <row r="381" spans="2:26" s="14" customFormat="1" ht="18" customHeight="1" thickBot="1">
      <c r="B381" s="112"/>
      <c r="C381" s="82" t="s">
        <v>77</v>
      </c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115"/>
      <c r="O381" s="129"/>
      <c r="P381" s="115"/>
      <c r="Q381" s="143"/>
      <c r="R381" s="115"/>
      <c r="S381" s="151"/>
      <c r="T381" s="144"/>
      <c r="U381" s="115"/>
      <c r="V381" s="157"/>
      <c r="W381" s="115"/>
      <c r="X381" s="166"/>
      <c r="Y381" s="68"/>
      <c r="Z381" s="116"/>
    </row>
    <row r="382" spans="2:26" ht="15" customHeight="1">
      <c r="B382" s="25"/>
      <c r="C382" s="50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4"/>
      <c r="O382" s="91"/>
      <c r="P382" s="4"/>
      <c r="Q382" s="92"/>
      <c r="R382" s="4"/>
      <c r="S382" s="4"/>
      <c r="T382" s="105"/>
      <c r="U382" s="4"/>
      <c r="V382" s="94"/>
      <c r="W382" s="4"/>
      <c r="X382" s="95"/>
      <c r="Y382" s="4"/>
      <c r="Z382" s="26"/>
    </row>
    <row r="383" spans="2:26" ht="5.25" customHeight="1" thickBot="1">
      <c r="B383" s="2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125"/>
      <c r="P383" s="28"/>
      <c r="Q383" s="135"/>
      <c r="R383" s="28"/>
      <c r="S383" s="28"/>
      <c r="T383" s="136"/>
      <c r="U383" s="28"/>
      <c r="V383" s="153"/>
      <c r="W383" s="28"/>
      <c r="X383" s="162"/>
      <c r="Y383" s="28"/>
      <c r="Z383" s="29"/>
    </row>
    <row r="384" spans="15:24" ht="9" customHeight="1">
      <c r="O384" s="91"/>
      <c r="Q384" s="92"/>
      <c r="R384" s="4"/>
      <c r="S384" s="4"/>
      <c r="T384" s="105"/>
      <c r="V384" s="94"/>
      <c r="X384" s="95"/>
    </row>
    <row r="385" spans="2:26" ht="4.5" customHeight="1" thickBot="1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119"/>
      <c r="P385" s="4"/>
      <c r="Q385" s="120"/>
      <c r="R385" s="121"/>
      <c r="S385" s="121"/>
      <c r="T385" s="122"/>
      <c r="U385" s="4"/>
      <c r="V385" s="123"/>
      <c r="W385" s="4"/>
      <c r="X385" s="170"/>
      <c r="Y385" s="4"/>
      <c r="Z385" s="4"/>
    </row>
    <row r="386" spans="3:26" ht="15">
      <c r="C386" s="30"/>
      <c r="D386" s="31"/>
      <c r="Z386" s="4"/>
    </row>
    <row r="387" spans="2:25" s="14" customFormat="1" ht="22.5" customHeight="1">
      <c r="B387" s="534" t="s">
        <v>40</v>
      </c>
      <c r="C387" s="529"/>
      <c r="D387" s="529"/>
      <c r="E387" s="529"/>
      <c r="F387" s="529"/>
      <c r="G387" s="529"/>
      <c r="H387" s="529"/>
      <c r="I387" s="529"/>
      <c r="J387" s="529"/>
      <c r="K387" s="529"/>
      <c r="L387" s="529"/>
      <c r="M387" s="529"/>
      <c r="N387" s="529"/>
      <c r="O387" s="529"/>
      <c r="P387" s="529"/>
      <c r="Q387" s="529"/>
      <c r="R387" s="529"/>
      <c r="S387" s="529"/>
      <c r="T387" s="529"/>
      <c r="U387" s="529"/>
      <c r="V387" s="529"/>
      <c r="W387" s="529"/>
      <c r="X387" s="529"/>
      <c r="Y387" s="529"/>
    </row>
    <row r="388" spans="2:25" s="14" customFormat="1" ht="22.5" customHeight="1">
      <c r="B388" s="450"/>
      <c r="C388" s="449"/>
      <c r="D388" s="449"/>
      <c r="E388" s="449"/>
      <c r="F388" s="449"/>
      <c r="G388" s="449"/>
      <c r="H388" s="449"/>
      <c r="I388" s="449"/>
      <c r="J388" s="449"/>
      <c r="K388" s="449"/>
      <c r="L388" s="449"/>
      <c r="M388" s="449"/>
      <c r="N388" s="449"/>
      <c r="O388" s="449"/>
      <c r="P388" s="449"/>
      <c r="Q388" s="449"/>
      <c r="R388" s="449"/>
      <c r="S388" s="449"/>
      <c r="T388" s="449"/>
      <c r="U388" s="449"/>
      <c r="V388" s="449"/>
      <c r="W388" s="449"/>
      <c r="X388" s="449"/>
      <c r="Y388" s="449"/>
    </row>
    <row r="389" spans="3:24" ht="12.75" customHeight="1">
      <c r="C389" s="498" t="str">
        <f>IF(AND('liens Q R'!M220=0,'liens Q R'!N222=0)," ","Attention !!")</f>
        <v>Attention !!</v>
      </c>
      <c r="Q389" s="504" t="s">
        <v>0</v>
      </c>
      <c r="R389" s="187"/>
      <c r="S389" s="514" t="s">
        <v>1</v>
      </c>
      <c r="T389" s="515"/>
      <c r="U389" s="187"/>
      <c r="V389" s="539" t="s">
        <v>60</v>
      </c>
      <c r="W389" s="187"/>
      <c r="X389" s="511" t="s">
        <v>3</v>
      </c>
    </row>
    <row r="390" spans="3:24" ht="12.75">
      <c r="C390" s="498" t="str">
        <f>IF('liens Q R'!M220=0," ",CONCATENATE("Vous n'avez pas répondu à ",'liens Q R'!M220," question (s) !"))</f>
        <v>Vous n'avez pas répondu à 50 question (s) !</v>
      </c>
      <c r="Q390" s="505"/>
      <c r="R390" s="188"/>
      <c r="S390" s="516"/>
      <c r="T390" s="517"/>
      <c r="U390" s="188"/>
      <c r="V390" s="540"/>
      <c r="W390" s="189"/>
      <c r="X390" s="512"/>
    </row>
    <row r="391" spans="3:24" ht="70.5" customHeight="1">
      <c r="C391" s="499" t="str">
        <f>IF('liens Q R'!N222=0," ",CONCATENATE("Vous n'avez pas introduit d'occurrence pour ",'liens Q R'!N222," question (s) dont la réponse est 'Non' !"))</f>
        <v> </v>
      </c>
      <c r="Q391" s="506"/>
      <c r="R391" s="188"/>
      <c r="S391" s="518"/>
      <c r="T391" s="503"/>
      <c r="U391" s="188"/>
      <c r="V391" s="541"/>
      <c r="W391" s="189"/>
      <c r="X391" s="513"/>
    </row>
    <row r="392" ht="10.5" customHeight="1" thickBot="1">
      <c r="X392" s="39"/>
    </row>
    <row r="393" spans="2:28" s="14" customFormat="1" ht="19.5" customHeight="1" thickBot="1">
      <c r="B393" s="83" t="s">
        <v>8</v>
      </c>
      <c r="C393" s="32"/>
      <c r="D393" s="33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5"/>
      <c r="AB393" s="55"/>
    </row>
    <row r="394" ht="9.75" customHeight="1"/>
    <row r="395" spans="2:25" s="68" customFormat="1" ht="34.5" customHeight="1">
      <c r="B395" s="509">
        <v>1</v>
      </c>
      <c r="C395" s="510"/>
      <c r="D395" s="523" t="str">
        <f>IF(X395=" "," ",INDEX(calcul!C$10:C$22,MATCH(B395,calcul!K$10:K$22,0)))</f>
        <v> </v>
      </c>
      <c r="E395" s="524"/>
      <c r="F395" s="524"/>
      <c r="G395" s="524"/>
      <c r="H395" s="524"/>
      <c r="I395" s="524"/>
      <c r="J395" s="524"/>
      <c r="K395" s="524"/>
      <c r="L395" s="524"/>
      <c r="M395" s="524"/>
      <c r="N395" s="238"/>
      <c r="O395" s="354" t="str">
        <f>IF(X395="-","?"," ")</f>
        <v> </v>
      </c>
      <c r="P395" s="238"/>
      <c r="Q395" s="355" t="str">
        <f>INDEX(calcul!AK$10:AK$22,MATCH(B395,calcul!K$10:K$22,0))</f>
        <v> </v>
      </c>
      <c r="R395" s="356"/>
      <c r="S395" s="508" t="str">
        <f>INDEX(calcul!AL$10:AL$22,MATCH(B395,calcul!K$10:K$22,0))</f>
        <v> </v>
      </c>
      <c r="T395" s="508"/>
      <c r="U395" s="356"/>
      <c r="V395" s="300" t="str">
        <f>INDEX(calcul!AM$10:AM$22,MATCH(B395,calcul!K$10:K$22,0))</f>
        <v> </v>
      </c>
      <c r="W395" s="356"/>
      <c r="X395" s="357" t="str">
        <f>INDEX(calcul!AN$10:AN$22,MATCH(B395,calcul!K$10:K$22,0))</f>
        <v> </v>
      </c>
      <c r="Y395" s="358"/>
    </row>
    <row r="396" spans="2:25" s="14" customFormat="1" ht="34.5" customHeight="1">
      <c r="B396" s="351"/>
      <c r="C396" s="352"/>
      <c r="D396" s="519" t="str">
        <f>IF(X395=" "," ",INDEX(calcul!E$10:E$22,MATCH(B395,calcul!K$10:K$22,0)))</f>
        <v> </v>
      </c>
      <c r="E396" s="520"/>
      <c r="F396" s="520"/>
      <c r="G396" s="520"/>
      <c r="H396" s="520"/>
      <c r="I396" s="520"/>
      <c r="J396" s="520"/>
      <c r="K396" s="520"/>
      <c r="L396" s="520"/>
      <c r="M396" s="520"/>
      <c r="N396" s="62"/>
      <c r="O396" s="190"/>
      <c r="P396" s="62"/>
      <c r="Q396" s="63"/>
      <c r="R396" s="191"/>
      <c r="S396" s="350"/>
      <c r="T396" s="350"/>
      <c r="U396" s="191"/>
      <c r="V396" s="301"/>
      <c r="W396" s="191"/>
      <c r="X396" s="192"/>
      <c r="Y396" s="48"/>
    </row>
    <row r="397" spans="2:25" s="68" customFormat="1" ht="34.5" customHeight="1">
      <c r="B397" s="521">
        <v>2</v>
      </c>
      <c r="C397" s="522"/>
      <c r="D397" s="523" t="str">
        <f>IF(X397=" "," ",INDEX(calcul!C$10:C$22,MATCH(B397,calcul!K$10:K$22,0)))</f>
        <v> </v>
      </c>
      <c r="E397" s="524"/>
      <c r="F397" s="524"/>
      <c r="G397" s="524"/>
      <c r="H397" s="524"/>
      <c r="I397" s="524"/>
      <c r="J397" s="524"/>
      <c r="K397" s="524"/>
      <c r="L397" s="524"/>
      <c r="M397" s="524"/>
      <c r="N397" s="238"/>
      <c r="O397" s="354" t="str">
        <f>IF(X397="-","?"," ")</f>
        <v> </v>
      </c>
      <c r="P397" s="238"/>
      <c r="Q397" s="355" t="str">
        <f>INDEX(calcul!AK$10:AK$22,MATCH(B397,calcul!K$10:K$22,0))</f>
        <v> </v>
      </c>
      <c r="R397" s="356"/>
      <c r="S397" s="508" t="str">
        <f>INDEX(calcul!AL$10:AL$22,MATCH(B397,calcul!K$10:K$22,0))</f>
        <v> </v>
      </c>
      <c r="T397" s="508"/>
      <c r="U397" s="356"/>
      <c r="V397" s="359" t="str">
        <f>INDEX(calcul!AM$10:AM$22,MATCH(B397,calcul!K$10:K$22,0))</f>
        <v> </v>
      </c>
      <c r="W397" s="356"/>
      <c r="X397" s="357" t="str">
        <f>INDEX(calcul!AN$10:AN$22,MATCH(B397,calcul!K$10:K$22,0))</f>
        <v> </v>
      </c>
      <c r="Y397" s="360"/>
    </row>
    <row r="398" spans="2:25" s="14" customFormat="1" ht="34.5" customHeight="1">
      <c r="B398" s="351"/>
      <c r="C398" s="352"/>
      <c r="D398" s="519" t="str">
        <f>IF(X397=" "," ",INDEX(calcul!E$10:E$22,MATCH(B397,calcul!K$10:K$22,0)))</f>
        <v> </v>
      </c>
      <c r="E398" s="520"/>
      <c r="F398" s="520"/>
      <c r="G398" s="520"/>
      <c r="H398" s="520"/>
      <c r="I398" s="520"/>
      <c r="J398" s="520"/>
      <c r="K398" s="520"/>
      <c r="L398" s="520"/>
      <c r="M398" s="520"/>
      <c r="N398" s="62"/>
      <c r="O398" s="190"/>
      <c r="P398" s="62"/>
      <c r="Q398" s="63"/>
      <c r="R398" s="191"/>
      <c r="S398" s="350"/>
      <c r="T398" s="350"/>
      <c r="U398" s="191"/>
      <c r="V398" s="193"/>
      <c r="W398" s="191"/>
      <c r="X398" s="192"/>
      <c r="Y398" s="205"/>
    </row>
    <row r="399" spans="2:25" s="68" customFormat="1" ht="34.5" customHeight="1">
      <c r="B399" s="521">
        <v>3</v>
      </c>
      <c r="C399" s="522"/>
      <c r="D399" s="523" t="str">
        <f>IF(X399=" "," ",INDEX(calcul!C$10:C$22,MATCH(B399,calcul!K$10:K$22,0)))</f>
        <v> </v>
      </c>
      <c r="E399" s="524"/>
      <c r="F399" s="524"/>
      <c r="G399" s="524"/>
      <c r="H399" s="524"/>
      <c r="I399" s="524"/>
      <c r="J399" s="524"/>
      <c r="K399" s="524"/>
      <c r="L399" s="524"/>
      <c r="M399" s="524"/>
      <c r="N399" s="238"/>
      <c r="O399" s="354" t="str">
        <f>IF(X399="-","?"," ")</f>
        <v> </v>
      </c>
      <c r="P399" s="238"/>
      <c r="Q399" s="355" t="str">
        <f>INDEX(calcul!AK$10:AK$22,MATCH(B399,calcul!K$10:K$22,0))</f>
        <v> </v>
      </c>
      <c r="R399" s="356"/>
      <c r="S399" s="508" t="str">
        <f>INDEX(calcul!AL$10:AL$22,MATCH(B399,calcul!K$10:K$22,0))</f>
        <v> </v>
      </c>
      <c r="T399" s="508"/>
      <c r="U399" s="356"/>
      <c r="V399" s="359" t="str">
        <f>INDEX(calcul!AM$10:AM$22,MATCH(B399,calcul!K$10:K$22,0))</f>
        <v> </v>
      </c>
      <c r="W399" s="356"/>
      <c r="X399" s="357" t="str">
        <f>INDEX(calcul!AN$10:AN$22,MATCH(B399,calcul!K$10:K$22,0))</f>
        <v> </v>
      </c>
      <c r="Y399" s="360"/>
    </row>
    <row r="400" spans="2:25" s="14" customFormat="1" ht="34.5" customHeight="1">
      <c r="B400" s="351"/>
      <c r="C400" s="352"/>
      <c r="D400" s="519" t="str">
        <f>IF(X399=" "," ",INDEX(calcul!E$10:E$22,MATCH(B399,calcul!K$10:K$22,0)))</f>
        <v> </v>
      </c>
      <c r="E400" s="520"/>
      <c r="F400" s="520"/>
      <c r="G400" s="520"/>
      <c r="H400" s="520"/>
      <c r="I400" s="520"/>
      <c r="J400" s="520"/>
      <c r="K400" s="520"/>
      <c r="L400" s="520"/>
      <c r="M400" s="520"/>
      <c r="N400" s="62"/>
      <c r="O400" s="190"/>
      <c r="P400" s="62"/>
      <c r="Q400" s="63"/>
      <c r="R400" s="191"/>
      <c r="S400" s="350"/>
      <c r="T400" s="350"/>
      <c r="U400" s="191"/>
      <c r="V400" s="193"/>
      <c r="W400" s="191"/>
      <c r="X400" s="192"/>
      <c r="Y400" s="205"/>
    </row>
    <row r="401" spans="2:25" s="68" customFormat="1" ht="34.5" customHeight="1">
      <c r="B401" s="521">
        <v>4</v>
      </c>
      <c r="C401" s="522"/>
      <c r="D401" s="523" t="str">
        <f>IF(X401=" "," ",INDEX(calcul!C$10:C$22,MATCH(B401,calcul!K$10:K$22,0)))</f>
        <v> </v>
      </c>
      <c r="E401" s="524"/>
      <c r="F401" s="524"/>
      <c r="G401" s="524"/>
      <c r="H401" s="524"/>
      <c r="I401" s="524"/>
      <c r="J401" s="524"/>
      <c r="K401" s="524"/>
      <c r="L401" s="524"/>
      <c r="M401" s="524"/>
      <c r="N401" s="238"/>
      <c r="O401" s="354" t="str">
        <f>IF(X401="-","?"," ")</f>
        <v> </v>
      </c>
      <c r="P401" s="238"/>
      <c r="Q401" s="355" t="str">
        <f>INDEX(calcul!AK$10:AK$22,MATCH(B401,calcul!K$10:K$22,0))</f>
        <v> </v>
      </c>
      <c r="R401" s="356"/>
      <c r="S401" s="508" t="str">
        <f>INDEX(calcul!AL$10:AL$22,MATCH(B401,calcul!K$10:K$22,0))</f>
        <v> </v>
      </c>
      <c r="T401" s="508"/>
      <c r="U401" s="356"/>
      <c r="V401" s="359" t="str">
        <f>INDEX(calcul!AM$10:AM$22,MATCH(B401,calcul!K$10:K$22,0))</f>
        <v> </v>
      </c>
      <c r="W401" s="356"/>
      <c r="X401" s="357" t="str">
        <f>INDEX(calcul!AN$10:AN$22,MATCH(B401,calcul!K$10:K$22,0))</f>
        <v> </v>
      </c>
      <c r="Y401" s="360"/>
    </row>
    <row r="402" spans="2:25" s="14" customFormat="1" ht="34.5" customHeight="1">
      <c r="B402" s="351"/>
      <c r="C402" s="352"/>
      <c r="D402" s="519" t="str">
        <f>IF(X401=" "," ",INDEX(calcul!E$10:E$22,MATCH(B401,calcul!K$10:K$22,0)))</f>
        <v> </v>
      </c>
      <c r="E402" s="520"/>
      <c r="F402" s="520"/>
      <c r="G402" s="520"/>
      <c r="H402" s="520"/>
      <c r="I402" s="520"/>
      <c r="J402" s="520"/>
      <c r="K402" s="520"/>
      <c r="L402" s="520"/>
      <c r="M402" s="520"/>
      <c r="N402" s="62"/>
      <c r="O402" s="190"/>
      <c r="P402" s="62"/>
      <c r="Q402" s="63"/>
      <c r="R402" s="191"/>
      <c r="S402" s="350"/>
      <c r="T402" s="350"/>
      <c r="U402" s="191"/>
      <c r="V402" s="193"/>
      <c r="W402" s="191"/>
      <c r="X402" s="192"/>
      <c r="Y402" s="205"/>
    </row>
    <row r="403" spans="2:25" s="68" customFormat="1" ht="34.5" customHeight="1">
      <c r="B403" s="521">
        <v>5</v>
      </c>
      <c r="C403" s="522"/>
      <c r="D403" s="523" t="str">
        <f>IF(X403=" "," ",INDEX(calcul!C$10:C$22,MATCH(B403,calcul!K$10:K$22,0)))</f>
        <v> </v>
      </c>
      <c r="E403" s="524"/>
      <c r="F403" s="524"/>
      <c r="G403" s="524"/>
      <c r="H403" s="524"/>
      <c r="I403" s="524"/>
      <c r="J403" s="524"/>
      <c r="K403" s="524"/>
      <c r="L403" s="524"/>
      <c r="M403" s="524"/>
      <c r="N403" s="238"/>
      <c r="O403" s="354" t="str">
        <f>IF(X403="-","?"," ")</f>
        <v> </v>
      </c>
      <c r="P403" s="238"/>
      <c r="Q403" s="355" t="str">
        <f>INDEX(calcul!AK$10:AK$22,MATCH(B403,calcul!K$10:K$22,0))</f>
        <v> </v>
      </c>
      <c r="R403" s="356"/>
      <c r="S403" s="508" t="str">
        <f>INDEX(calcul!AL$10:AL$22,MATCH(B403,calcul!K$10:K$22,0))</f>
        <v> </v>
      </c>
      <c r="T403" s="508"/>
      <c r="U403" s="356"/>
      <c r="V403" s="359" t="str">
        <f>INDEX(calcul!AM$10:AM$22,MATCH(B403,calcul!K$10:K$22,0))</f>
        <v> </v>
      </c>
      <c r="W403" s="356"/>
      <c r="X403" s="357" t="str">
        <f>INDEX(calcul!AN$10:AN$22,MATCH(B403,calcul!K$10:K$22,0))</f>
        <v> </v>
      </c>
      <c r="Y403" s="360"/>
    </row>
    <row r="404" spans="2:25" s="14" customFormat="1" ht="34.5" customHeight="1">
      <c r="B404" s="351"/>
      <c r="C404" s="352"/>
      <c r="D404" s="519" t="str">
        <f>IF(X403=" "," ",INDEX(calcul!E$10:E$22,MATCH(B403,calcul!K$10:K$22,0)))</f>
        <v> </v>
      </c>
      <c r="E404" s="520"/>
      <c r="F404" s="520"/>
      <c r="G404" s="520"/>
      <c r="H404" s="520"/>
      <c r="I404" s="520"/>
      <c r="J404" s="520"/>
      <c r="K404" s="520"/>
      <c r="L404" s="520"/>
      <c r="M404" s="520"/>
      <c r="N404" s="62"/>
      <c r="O404" s="190"/>
      <c r="P404" s="62"/>
      <c r="Q404" s="63"/>
      <c r="R404" s="191"/>
      <c r="S404" s="350"/>
      <c r="T404" s="350"/>
      <c r="U404" s="191"/>
      <c r="V404" s="193"/>
      <c r="W404" s="191"/>
      <c r="X404" s="192"/>
      <c r="Y404" s="205"/>
    </row>
    <row r="405" spans="2:25" s="68" customFormat="1" ht="34.5" customHeight="1">
      <c r="B405" s="521">
        <v>6</v>
      </c>
      <c r="C405" s="522"/>
      <c r="D405" s="523" t="str">
        <f>IF(X405=" "," ",INDEX(calcul!C$10:C$22,MATCH(B405,calcul!K$10:K$22,0)))</f>
        <v> </v>
      </c>
      <c r="E405" s="524"/>
      <c r="F405" s="524"/>
      <c r="G405" s="524"/>
      <c r="H405" s="524"/>
      <c r="I405" s="524"/>
      <c r="J405" s="524"/>
      <c r="K405" s="524"/>
      <c r="L405" s="524"/>
      <c r="M405" s="524"/>
      <c r="N405" s="238"/>
      <c r="O405" s="354" t="str">
        <f>IF(X405="-","?"," ")</f>
        <v> </v>
      </c>
      <c r="P405" s="238"/>
      <c r="Q405" s="355" t="str">
        <f>INDEX(calcul!AK$10:AK$22,MATCH(B405,calcul!K$10:K$22,0))</f>
        <v> </v>
      </c>
      <c r="R405" s="356"/>
      <c r="S405" s="508" t="str">
        <f>INDEX(calcul!AL$10:AL$22,MATCH(B405,calcul!K$10:K$22,0))</f>
        <v> </v>
      </c>
      <c r="T405" s="508"/>
      <c r="U405" s="356"/>
      <c r="V405" s="359" t="str">
        <f>INDEX(calcul!AM$10:AM$22,MATCH(B405,calcul!K$10:K$22,0))</f>
        <v> </v>
      </c>
      <c r="W405" s="356"/>
      <c r="X405" s="357" t="str">
        <f>INDEX(calcul!AN$10:AN$22,MATCH(B405,calcul!K$10:K$22,0))</f>
        <v> </v>
      </c>
      <c r="Y405" s="360"/>
    </row>
    <row r="406" spans="2:25" s="14" customFormat="1" ht="34.5" customHeight="1">
      <c r="B406" s="351"/>
      <c r="C406" s="352"/>
      <c r="D406" s="519" t="str">
        <f>IF(X405=" "," ",INDEX(calcul!E$10:E$22,MATCH(B405,calcul!K$10:K$22,0)))</f>
        <v> </v>
      </c>
      <c r="E406" s="520"/>
      <c r="F406" s="520"/>
      <c r="G406" s="520"/>
      <c r="H406" s="520"/>
      <c r="I406" s="520"/>
      <c r="J406" s="520"/>
      <c r="K406" s="520"/>
      <c r="L406" s="520"/>
      <c r="M406" s="520"/>
      <c r="N406" s="62"/>
      <c r="O406" s="190"/>
      <c r="P406" s="62"/>
      <c r="Q406" s="63"/>
      <c r="R406" s="191"/>
      <c r="S406" s="350"/>
      <c r="T406" s="350"/>
      <c r="U406" s="191"/>
      <c r="V406" s="193"/>
      <c r="W406" s="191"/>
      <c r="X406" s="192"/>
      <c r="Y406" s="205"/>
    </row>
    <row r="407" spans="2:25" s="68" customFormat="1" ht="34.5" customHeight="1">
      <c r="B407" s="521">
        <v>7</v>
      </c>
      <c r="C407" s="522"/>
      <c r="D407" s="523" t="str">
        <f>IF(X407=" "," ",INDEX(calcul!C$10:C$22,MATCH(B407,calcul!K$10:K$22,0)))</f>
        <v> </v>
      </c>
      <c r="E407" s="524"/>
      <c r="F407" s="524"/>
      <c r="G407" s="524"/>
      <c r="H407" s="524"/>
      <c r="I407" s="524"/>
      <c r="J407" s="524"/>
      <c r="K407" s="524"/>
      <c r="L407" s="524"/>
      <c r="M407" s="524"/>
      <c r="N407" s="238"/>
      <c r="O407" s="354" t="str">
        <f>IF(X407="-","?"," ")</f>
        <v> </v>
      </c>
      <c r="P407" s="238"/>
      <c r="Q407" s="355" t="str">
        <f>INDEX(calcul!AK$10:AK$22,MATCH(B407,calcul!K$10:K$22,0))</f>
        <v> </v>
      </c>
      <c r="R407" s="356"/>
      <c r="S407" s="508" t="str">
        <f>INDEX(calcul!AL$10:AL$22,MATCH(B407,calcul!K$10:K$22,0))</f>
        <v> </v>
      </c>
      <c r="T407" s="508"/>
      <c r="U407" s="356"/>
      <c r="V407" s="359" t="str">
        <f>INDEX(calcul!AM$10:AM$22,MATCH(B407,calcul!K$10:K$22,0))</f>
        <v> </v>
      </c>
      <c r="W407" s="356"/>
      <c r="X407" s="357" t="str">
        <f>INDEX(calcul!AN$10:AN$22,MATCH(B407,calcul!K$10:K$22,0))</f>
        <v> </v>
      </c>
      <c r="Y407" s="360"/>
    </row>
    <row r="408" spans="2:25" s="14" customFormat="1" ht="34.5" customHeight="1">
      <c r="B408" s="351"/>
      <c r="C408" s="352"/>
      <c r="D408" s="519" t="str">
        <f>IF(X407=" "," ",INDEX(calcul!E$10:E$22,MATCH(B407,calcul!K$10:K$22,0)))</f>
        <v> </v>
      </c>
      <c r="E408" s="520"/>
      <c r="F408" s="520"/>
      <c r="G408" s="520"/>
      <c r="H408" s="520"/>
      <c r="I408" s="520"/>
      <c r="J408" s="520"/>
      <c r="K408" s="520"/>
      <c r="L408" s="520"/>
      <c r="M408" s="520"/>
      <c r="N408" s="62"/>
      <c r="O408" s="190"/>
      <c r="P408" s="62"/>
      <c r="Q408" s="63"/>
      <c r="R408" s="191"/>
      <c r="S408" s="350"/>
      <c r="T408" s="350"/>
      <c r="U408" s="191"/>
      <c r="V408" s="193"/>
      <c r="W408" s="191"/>
      <c r="X408" s="192"/>
      <c r="Y408" s="205"/>
    </row>
    <row r="409" spans="2:25" s="68" customFormat="1" ht="34.5" customHeight="1">
      <c r="B409" s="521">
        <v>8</v>
      </c>
      <c r="C409" s="522"/>
      <c r="D409" s="523" t="str">
        <f>IF(X409=" "," ",INDEX(calcul!C$10:C$22,MATCH(B409,calcul!K$10:K$22,0)))</f>
        <v> </v>
      </c>
      <c r="E409" s="524"/>
      <c r="F409" s="524"/>
      <c r="G409" s="524"/>
      <c r="H409" s="524"/>
      <c r="I409" s="524"/>
      <c r="J409" s="524"/>
      <c r="K409" s="524"/>
      <c r="L409" s="524"/>
      <c r="M409" s="524"/>
      <c r="N409" s="238"/>
      <c r="O409" s="354" t="str">
        <f>IF(X409="-","?"," ")</f>
        <v> </v>
      </c>
      <c r="P409" s="238"/>
      <c r="Q409" s="355" t="str">
        <f>INDEX(calcul!AK$10:AK$22,MATCH(B409,calcul!K$10:K$22,0))</f>
        <v> </v>
      </c>
      <c r="R409" s="356"/>
      <c r="S409" s="508" t="str">
        <f>INDEX(calcul!AL$10:AL$22,MATCH(B409,calcul!K$10:K$22,0))</f>
        <v> </v>
      </c>
      <c r="T409" s="508"/>
      <c r="U409" s="356"/>
      <c r="V409" s="359" t="str">
        <f>INDEX(calcul!AM$10:AM$22,MATCH(B409,calcul!K$10:K$22,0))</f>
        <v> </v>
      </c>
      <c r="W409" s="356"/>
      <c r="X409" s="357" t="str">
        <f>INDEX(calcul!AN$10:AN$22,MATCH(B409,calcul!K$10:K$22,0))</f>
        <v> </v>
      </c>
      <c r="Y409" s="360"/>
    </row>
    <row r="410" spans="2:25" s="14" customFormat="1" ht="34.5" customHeight="1">
      <c r="B410" s="351"/>
      <c r="C410" s="352"/>
      <c r="D410" s="519" t="str">
        <f>IF(X409=" "," ",INDEX(calcul!E$10:E$22,MATCH(B409,calcul!K$10:K$22,0)))</f>
        <v> </v>
      </c>
      <c r="E410" s="520"/>
      <c r="F410" s="520"/>
      <c r="G410" s="520"/>
      <c r="H410" s="520"/>
      <c r="I410" s="520"/>
      <c r="J410" s="520"/>
      <c r="K410" s="520"/>
      <c r="L410" s="520"/>
      <c r="M410" s="520"/>
      <c r="N410" s="62"/>
      <c r="O410" s="190"/>
      <c r="P410" s="62"/>
      <c r="Q410" s="63"/>
      <c r="R410" s="191"/>
      <c r="S410" s="350"/>
      <c r="T410" s="350"/>
      <c r="U410" s="191"/>
      <c r="V410" s="193"/>
      <c r="W410" s="191"/>
      <c r="X410" s="192"/>
      <c r="Y410" s="205"/>
    </row>
    <row r="411" spans="2:25" s="68" customFormat="1" ht="34.5" customHeight="1">
      <c r="B411" s="521">
        <v>9</v>
      </c>
      <c r="C411" s="522"/>
      <c r="D411" s="523" t="str">
        <f>IF(X411=" "," ",INDEX(calcul!C$10:C$22,MATCH(B411,calcul!K$10:K$22,0)))</f>
        <v> </v>
      </c>
      <c r="E411" s="524"/>
      <c r="F411" s="524"/>
      <c r="G411" s="524"/>
      <c r="H411" s="524"/>
      <c r="I411" s="524"/>
      <c r="J411" s="524"/>
      <c r="K411" s="524"/>
      <c r="L411" s="524"/>
      <c r="M411" s="524"/>
      <c r="N411" s="238"/>
      <c r="O411" s="354" t="str">
        <f>IF(X411="-","?"," ")</f>
        <v> </v>
      </c>
      <c r="P411" s="238"/>
      <c r="Q411" s="355" t="str">
        <f>INDEX(calcul!AK$10:AK$22,MATCH(B411,calcul!K$10:K$22,0))</f>
        <v> </v>
      </c>
      <c r="R411" s="356"/>
      <c r="S411" s="508" t="str">
        <f>INDEX(calcul!AL$10:AL$22,MATCH(B411,calcul!K$10:K$22,0))</f>
        <v> </v>
      </c>
      <c r="T411" s="508"/>
      <c r="U411" s="356"/>
      <c r="V411" s="359" t="str">
        <f>INDEX(calcul!AM$10:AM$22,MATCH(B411,calcul!K$10:K$22,0))</f>
        <v> </v>
      </c>
      <c r="W411" s="356"/>
      <c r="X411" s="357" t="str">
        <f>INDEX(calcul!AN$10:AN$22,MATCH(B411,calcul!K$10:K$22,0))</f>
        <v> </v>
      </c>
      <c r="Y411" s="360"/>
    </row>
    <row r="412" spans="2:25" s="14" customFormat="1" ht="34.5" customHeight="1">
      <c r="B412" s="351"/>
      <c r="C412" s="352"/>
      <c r="D412" s="519" t="str">
        <f>IF(X411=" "," ",INDEX(calcul!E$10:E$22,MATCH(B411,calcul!K$10:K$22,0)))</f>
        <v> </v>
      </c>
      <c r="E412" s="520"/>
      <c r="F412" s="520"/>
      <c r="G412" s="520"/>
      <c r="H412" s="520"/>
      <c r="I412" s="520"/>
      <c r="J412" s="520"/>
      <c r="K412" s="520"/>
      <c r="L412" s="520"/>
      <c r="M412" s="520"/>
      <c r="N412" s="62"/>
      <c r="O412" s="190"/>
      <c r="P412" s="62"/>
      <c r="Q412" s="63"/>
      <c r="R412" s="191"/>
      <c r="S412" s="350"/>
      <c r="T412" s="350"/>
      <c r="U412" s="191"/>
      <c r="V412" s="193"/>
      <c r="W412" s="191"/>
      <c r="X412" s="192"/>
      <c r="Y412" s="205"/>
    </row>
    <row r="413" spans="2:25" s="68" customFormat="1" ht="34.5" customHeight="1">
      <c r="B413" s="521">
        <v>10</v>
      </c>
      <c r="C413" s="522"/>
      <c r="D413" s="576" t="str">
        <f>IF(X413=" "," ",INDEX(calcul!C$10:C$22,MATCH(B413,calcul!K$10:K$22,0)))</f>
        <v> </v>
      </c>
      <c r="E413" s="577"/>
      <c r="F413" s="577"/>
      <c r="G413" s="577"/>
      <c r="H413" s="577"/>
      <c r="I413" s="577"/>
      <c r="J413" s="577"/>
      <c r="K413" s="577"/>
      <c r="L413" s="577"/>
      <c r="M413" s="577"/>
      <c r="N413" s="578"/>
      <c r="O413" s="579" t="str">
        <f>IF(X413="-","?"," ")</f>
        <v> </v>
      </c>
      <c r="P413" s="578"/>
      <c r="Q413" s="580" t="str">
        <f>INDEX(calcul!AK$10:AK$22,MATCH(B413,calcul!K$10:K$22,0))</f>
        <v> </v>
      </c>
      <c r="R413" s="581"/>
      <c r="S413" s="582" t="str">
        <f>INDEX(calcul!AL$10:AL$22,MATCH(B413,calcul!K$10:K$22,0))</f>
        <v> </v>
      </c>
      <c r="T413" s="582"/>
      <c r="U413" s="581"/>
      <c r="V413" s="359" t="str">
        <f>INDEX(calcul!AM$10:AM$22,MATCH(B413,calcul!K$10:K$22,0))</f>
        <v> </v>
      </c>
      <c r="W413" s="581"/>
      <c r="X413" s="583" t="str">
        <f>INDEX(calcul!AN$10:AN$22,MATCH(B413,calcul!K$10:K$22,0))</f>
        <v> </v>
      </c>
      <c r="Y413" s="360"/>
    </row>
    <row r="414" spans="2:25" s="14" customFormat="1" ht="34.5" customHeight="1">
      <c r="B414" s="351"/>
      <c r="C414" s="352"/>
      <c r="D414" s="519" t="str">
        <f>IF(X413=" "," ",INDEX(calcul!E$10:E$22,MATCH(B413,calcul!K$10:K$22,0)))</f>
        <v> </v>
      </c>
      <c r="E414" s="520"/>
      <c r="F414" s="520"/>
      <c r="G414" s="520"/>
      <c r="H414" s="520"/>
      <c r="I414" s="520"/>
      <c r="J414" s="520"/>
      <c r="K414" s="520"/>
      <c r="L414" s="520"/>
      <c r="M414" s="520"/>
      <c r="N414" s="62"/>
      <c r="O414" s="190"/>
      <c r="P414" s="62"/>
      <c r="Q414" s="63"/>
      <c r="R414" s="191"/>
      <c r="S414" s="350"/>
      <c r="T414" s="350"/>
      <c r="U414" s="191"/>
      <c r="V414" s="193"/>
      <c r="W414" s="191"/>
      <c r="X414" s="192"/>
      <c r="Y414" s="205"/>
    </row>
    <row r="415" spans="2:25" s="68" customFormat="1" ht="34.5" customHeight="1">
      <c r="B415" s="521">
        <v>11</v>
      </c>
      <c r="C415" s="522"/>
      <c r="D415" s="523" t="str">
        <f>IF(X415=" "," ",INDEX(calcul!C$10:C$22,MATCH(B415,calcul!K$10:K$22,0)))</f>
        <v> </v>
      </c>
      <c r="E415" s="524"/>
      <c r="F415" s="524"/>
      <c r="G415" s="524"/>
      <c r="H415" s="524"/>
      <c r="I415" s="524"/>
      <c r="J415" s="524"/>
      <c r="K415" s="524"/>
      <c r="L415" s="524"/>
      <c r="M415" s="524"/>
      <c r="N415" s="238"/>
      <c r="O415" s="354" t="str">
        <f>IF(X415="-","?"," ")</f>
        <v> </v>
      </c>
      <c r="P415" s="238"/>
      <c r="Q415" s="355" t="str">
        <f>INDEX(calcul!AK$10:AK$22,MATCH(B415,calcul!K$10:K$22,0))</f>
        <v> </v>
      </c>
      <c r="R415" s="356"/>
      <c r="S415" s="508" t="str">
        <f>INDEX(calcul!AL$10:AL$22,MATCH(B415,calcul!K$10:K$22,0))</f>
        <v> </v>
      </c>
      <c r="T415" s="508"/>
      <c r="U415" s="356"/>
      <c r="V415" s="359" t="str">
        <f>INDEX(calcul!AM$10:AM$22,MATCH(B415,calcul!K$10:K$22,0))</f>
        <v> </v>
      </c>
      <c r="W415" s="356"/>
      <c r="X415" s="357" t="str">
        <f>INDEX(calcul!AN$10:AN$22,MATCH(B415,calcul!K$10:K$22,0))</f>
        <v> </v>
      </c>
      <c r="Y415" s="360"/>
    </row>
    <row r="416" spans="2:25" s="14" customFormat="1" ht="34.5" customHeight="1">
      <c r="B416" s="351"/>
      <c r="C416" s="352"/>
      <c r="D416" s="519" t="str">
        <f>IF(X415=" "," ",INDEX(calcul!E$10:E$22,MATCH(B415,calcul!K$10:K$22,0)))</f>
        <v> </v>
      </c>
      <c r="E416" s="520"/>
      <c r="F416" s="520"/>
      <c r="G416" s="520"/>
      <c r="H416" s="520"/>
      <c r="I416" s="520"/>
      <c r="J416" s="520"/>
      <c r="K416" s="520"/>
      <c r="L416" s="520"/>
      <c r="M416" s="520"/>
      <c r="N416" s="62"/>
      <c r="O416" s="190"/>
      <c r="P416" s="62"/>
      <c r="Q416" s="63"/>
      <c r="R416" s="191"/>
      <c r="S416" s="350"/>
      <c r="T416" s="350"/>
      <c r="U416" s="191"/>
      <c r="V416" s="193"/>
      <c r="W416" s="191"/>
      <c r="X416" s="192"/>
      <c r="Y416" s="205"/>
    </row>
    <row r="417" spans="2:25" s="68" customFormat="1" ht="34.5" customHeight="1">
      <c r="B417" s="521">
        <v>12</v>
      </c>
      <c r="C417" s="522"/>
      <c r="D417" s="523" t="str">
        <f>IF(X417=" "," ",INDEX(calcul!C$10:C$22,MATCH(B417,calcul!K$10:K$22,0)))</f>
        <v> </v>
      </c>
      <c r="E417" s="524"/>
      <c r="F417" s="524"/>
      <c r="G417" s="524"/>
      <c r="H417" s="524"/>
      <c r="I417" s="524"/>
      <c r="J417" s="524"/>
      <c r="K417" s="524"/>
      <c r="L417" s="524"/>
      <c r="M417" s="524"/>
      <c r="N417" s="238"/>
      <c r="O417" s="354" t="str">
        <f>IF(X417="-","?"," ")</f>
        <v> </v>
      </c>
      <c r="P417" s="238"/>
      <c r="Q417" s="355" t="str">
        <f>INDEX(calcul!AK$10:AK$22,MATCH(B417,calcul!K$10:K$22,0))</f>
        <v> </v>
      </c>
      <c r="R417" s="356"/>
      <c r="S417" s="508" t="str">
        <f>INDEX(calcul!AL$10:AL$22,MATCH(B417,calcul!K$10:K$22,0))</f>
        <v> </v>
      </c>
      <c r="T417" s="508"/>
      <c r="U417" s="356"/>
      <c r="V417" s="359" t="str">
        <f>INDEX(calcul!AM$10:AM$22,MATCH(B417,calcul!K$10:K$22,0))</f>
        <v> </v>
      </c>
      <c r="W417" s="356"/>
      <c r="X417" s="357" t="str">
        <f>INDEX(calcul!AN$10:AN$22,MATCH(B417,calcul!K$10:K$22,0))</f>
        <v> </v>
      </c>
      <c r="Y417" s="360"/>
    </row>
    <row r="418" spans="2:25" s="14" customFormat="1" ht="34.5" customHeight="1">
      <c r="B418" s="351"/>
      <c r="C418" s="352"/>
      <c r="D418" s="519" t="str">
        <f>IF(X417=" "," ",INDEX(calcul!E$10:E$22,MATCH(B417,calcul!K$10:K$22,0)))</f>
        <v> </v>
      </c>
      <c r="E418" s="520"/>
      <c r="F418" s="520"/>
      <c r="G418" s="520"/>
      <c r="H418" s="520"/>
      <c r="I418" s="520"/>
      <c r="J418" s="520"/>
      <c r="K418" s="520"/>
      <c r="L418" s="520"/>
      <c r="M418" s="520"/>
      <c r="N418" s="62"/>
      <c r="O418" s="190"/>
      <c r="P418" s="62"/>
      <c r="Q418" s="63"/>
      <c r="R418" s="191"/>
      <c r="S418" s="350"/>
      <c r="T418" s="350"/>
      <c r="U418" s="191"/>
      <c r="V418" s="193"/>
      <c r="W418" s="191"/>
      <c r="X418" s="192"/>
      <c r="Y418" s="205"/>
    </row>
    <row r="419" spans="2:25" s="68" customFormat="1" ht="34.5" customHeight="1">
      <c r="B419" s="521">
        <v>13</v>
      </c>
      <c r="C419" s="522"/>
      <c r="D419" s="523" t="str">
        <f>IF(X419=" "," ",INDEX(calcul!C$10:C$22,MATCH(B419,calcul!K$10:K$22,0)))</f>
        <v> </v>
      </c>
      <c r="E419" s="524"/>
      <c r="F419" s="524"/>
      <c r="G419" s="524"/>
      <c r="H419" s="524"/>
      <c r="I419" s="524"/>
      <c r="J419" s="524"/>
      <c r="K419" s="524"/>
      <c r="L419" s="524"/>
      <c r="M419" s="524"/>
      <c r="N419" s="238"/>
      <c r="O419" s="354" t="str">
        <f>IF(X419="-","?"," ")</f>
        <v> </v>
      </c>
      <c r="P419" s="238"/>
      <c r="Q419" s="355" t="str">
        <f>INDEX(calcul!AK$10:AK$22,MATCH(B419,calcul!K$10:K$22,0))</f>
        <v> </v>
      </c>
      <c r="R419" s="356"/>
      <c r="S419" s="508" t="str">
        <f>INDEX(calcul!AL$10:AL$22,MATCH(B419,calcul!K$10:K$22,0))</f>
        <v> </v>
      </c>
      <c r="T419" s="508"/>
      <c r="U419" s="356"/>
      <c r="V419" s="359" t="str">
        <f>INDEX(calcul!AM$10:AM$22,MATCH(B419,calcul!K$10:K$22,0))</f>
        <v> </v>
      </c>
      <c r="W419" s="356"/>
      <c r="X419" s="357" t="str">
        <f>INDEX(calcul!AN$10:AN$22,MATCH(B419,calcul!K$10:K$22,0))</f>
        <v> </v>
      </c>
      <c r="Y419" s="360"/>
    </row>
    <row r="420" spans="2:25" s="14" customFormat="1" ht="34.5" customHeight="1" thickBot="1">
      <c r="B420" s="353"/>
      <c r="C420" s="352"/>
      <c r="D420" s="519" t="str">
        <f>IF(X419=" "," ",INDEX(calcul!E$10:E$22,MATCH(B419,calcul!K$10:K$22,0)))</f>
        <v> </v>
      </c>
      <c r="E420" s="520"/>
      <c r="F420" s="520"/>
      <c r="G420" s="520"/>
      <c r="H420" s="520"/>
      <c r="I420" s="520"/>
      <c r="J420" s="520"/>
      <c r="K420" s="520"/>
      <c r="L420" s="520"/>
      <c r="M420" s="520"/>
      <c r="N420" s="62"/>
      <c r="O420" s="190"/>
      <c r="P420" s="62"/>
      <c r="Q420" s="63"/>
      <c r="R420" s="191"/>
      <c r="S420" s="350"/>
      <c r="T420" s="350"/>
      <c r="U420" s="191"/>
      <c r="V420" s="361"/>
      <c r="W420" s="191"/>
      <c r="X420" s="192"/>
      <c r="Y420" s="205"/>
    </row>
    <row r="421" spans="22:24" ht="25.5" customHeight="1" thickBot="1">
      <c r="V421" s="194"/>
      <c r="X421" s="39"/>
    </row>
    <row r="422" spans="2:28" s="14" customFormat="1" ht="19.5" customHeight="1" thickBot="1">
      <c r="B422" s="83" t="s">
        <v>22</v>
      </c>
      <c r="C422" s="32"/>
      <c r="D422" s="33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195"/>
      <c r="W422" s="34"/>
      <c r="X422" s="34"/>
      <c r="Y422" s="35"/>
      <c r="AB422" s="55"/>
    </row>
    <row r="423" spans="22:28" ht="9.75" customHeight="1">
      <c r="V423" s="194"/>
      <c r="AB423" s="55"/>
    </row>
    <row r="424" spans="2:24" s="4" customFormat="1" ht="34.5" customHeight="1">
      <c r="B424" s="509">
        <v>1</v>
      </c>
      <c r="C424" s="510"/>
      <c r="D424" s="523" t="str">
        <f>IF(X424=" "," ",INDEX(calcul!C$26:C$38,MATCH(B424,calcul!K$26:K$38,0)))</f>
        <v> </v>
      </c>
      <c r="E424" s="524"/>
      <c r="F424" s="524"/>
      <c r="G424" s="524"/>
      <c r="H424" s="524"/>
      <c r="I424" s="524"/>
      <c r="J424" s="524"/>
      <c r="K424" s="524"/>
      <c r="L424" s="524"/>
      <c r="M424" s="524"/>
      <c r="N424" s="238"/>
      <c r="O424" s="354" t="str">
        <f>IF(X424="-","?"," ")</f>
        <v> </v>
      </c>
      <c r="P424" s="238"/>
      <c r="Q424" s="355" t="str">
        <f>INDEX(calcul!AK$26:AK$38,MATCH(B424,calcul!K$26:K$38,0))</f>
        <v> </v>
      </c>
      <c r="R424" s="356"/>
      <c r="S424" s="508" t="str">
        <f>INDEX(calcul!AL$26:AL$38,MATCH(B424,calcul!K$26:K$38,0))</f>
        <v> </v>
      </c>
      <c r="T424" s="508"/>
      <c r="U424" s="356"/>
      <c r="V424" s="300" t="str">
        <f>INDEX(calcul!AM$26:AM$38,MATCH(B424,calcul!K$26:K$38,0))</f>
        <v> </v>
      </c>
      <c r="W424" s="356"/>
      <c r="X424" s="357" t="str">
        <f>INDEX(calcul!AN$26:AN$38,MATCH(B424,calcul!K$26:K$38,0))</f>
        <v> </v>
      </c>
    </row>
    <row r="425" spans="2:25" ht="34.5" customHeight="1">
      <c r="B425" s="351"/>
      <c r="C425" s="352"/>
      <c r="D425" s="519" t="str">
        <f>IF(X424=" "," ",INDEX(calcul!E$26:E$38,MATCH(B424,calcul!K$26:K$38,0)))</f>
        <v> </v>
      </c>
      <c r="E425" s="520"/>
      <c r="F425" s="520"/>
      <c r="G425" s="520"/>
      <c r="H425" s="520"/>
      <c r="I425" s="520"/>
      <c r="J425" s="520"/>
      <c r="K425" s="520"/>
      <c r="L425" s="520"/>
      <c r="M425" s="520"/>
      <c r="N425" s="62"/>
      <c r="O425" s="190"/>
      <c r="P425" s="62"/>
      <c r="Q425" s="63"/>
      <c r="R425" s="191"/>
      <c r="S425" s="350"/>
      <c r="T425" s="350"/>
      <c r="U425" s="191"/>
      <c r="V425" s="301"/>
      <c r="W425" s="191"/>
      <c r="X425" s="192"/>
      <c r="Y425" s="47"/>
    </row>
    <row r="426" spans="2:25" s="4" customFormat="1" ht="34.5" customHeight="1">
      <c r="B426" s="521">
        <v>2</v>
      </c>
      <c r="C426" s="522"/>
      <c r="D426" s="523" t="str">
        <f>IF(X426=" "," ",INDEX(calcul!C$26:C$38,MATCH(B426,calcul!K$26:K$38,0)))</f>
        <v> </v>
      </c>
      <c r="E426" s="524"/>
      <c r="F426" s="524"/>
      <c r="G426" s="524"/>
      <c r="H426" s="524"/>
      <c r="I426" s="524"/>
      <c r="J426" s="524"/>
      <c r="K426" s="524"/>
      <c r="L426" s="524"/>
      <c r="M426" s="524"/>
      <c r="N426" s="238"/>
      <c r="O426" s="354" t="str">
        <f>IF(X426="-","?"," ")</f>
        <v> </v>
      </c>
      <c r="P426" s="238"/>
      <c r="Q426" s="355" t="str">
        <f>INDEX(calcul!AK$26:AK$38,MATCH(B426,calcul!K$26:K$38,0))</f>
        <v> </v>
      </c>
      <c r="R426" s="356"/>
      <c r="S426" s="508" t="str">
        <f>INDEX(calcul!AL$26:AL$38,MATCH(B426,calcul!K$26:K$38,0))</f>
        <v> </v>
      </c>
      <c r="T426" s="508"/>
      <c r="U426" s="356"/>
      <c r="V426" s="359" t="str">
        <f>INDEX(calcul!AM$26:AM$38,MATCH(B426,calcul!K$26:K$38,0))</f>
        <v> </v>
      </c>
      <c r="W426" s="356"/>
      <c r="X426" s="357" t="str">
        <f>INDEX(calcul!AN$26:AN$38,MATCH(B426,calcul!K$26:K$38,0))</f>
        <v> </v>
      </c>
      <c r="Y426" s="368"/>
    </row>
    <row r="427" spans="2:25" ht="34.5" customHeight="1">
      <c r="B427" s="351"/>
      <c r="C427" s="352"/>
      <c r="D427" s="519" t="str">
        <f>IF(X426=" "," ",INDEX(calcul!E$26:E$38,MATCH(B426,calcul!K$26:K$38,0)))</f>
        <v> </v>
      </c>
      <c r="E427" s="520"/>
      <c r="F427" s="520"/>
      <c r="G427" s="520"/>
      <c r="H427" s="520"/>
      <c r="I427" s="520"/>
      <c r="J427" s="520"/>
      <c r="K427" s="520"/>
      <c r="L427" s="520"/>
      <c r="M427" s="520"/>
      <c r="N427" s="62"/>
      <c r="O427" s="190"/>
      <c r="P427" s="62"/>
      <c r="Q427" s="63"/>
      <c r="R427" s="191"/>
      <c r="S427" s="350"/>
      <c r="T427" s="350"/>
      <c r="U427" s="191"/>
      <c r="V427" s="193"/>
      <c r="W427" s="191"/>
      <c r="X427" s="192"/>
      <c r="Y427" s="47"/>
    </row>
    <row r="428" spans="2:25" s="4" customFormat="1" ht="34.5" customHeight="1">
      <c r="B428" s="521">
        <v>3</v>
      </c>
      <c r="C428" s="522"/>
      <c r="D428" s="523" t="str">
        <f>IF(X428=" "," ",INDEX(calcul!C$26:C$38,MATCH(B428,calcul!K$26:K$38,0)))</f>
        <v> </v>
      </c>
      <c r="E428" s="524"/>
      <c r="F428" s="524"/>
      <c r="G428" s="524"/>
      <c r="H428" s="524"/>
      <c r="I428" s="524"/>
      <c r="J428" s="524"/>
      <c r="K428" s="524"/>
      <c r="L428" s="524"/>
      <c r="M428" s="524"/>
      <c r="N428" s="238"/>
      <c r="O428" s="354" t="str">
        <f>IF(X428="-","?"," ")</f>
        <v> </v>
      </c>
      <c r="P428" s="238"/>
      <c r="Q428" s="355" t="str">
        <f>INDEX(calcul!AK$26:AK$38,MATCH(B428,calcul!K$26:K$38,0))</f>
        <v> </v>
      </c>
      <c r="R428" s="356"/>
      <c r="S428" s="508" t="str">
        <f>INDEX(calcul!AL$26:AL$38,MATCH(B428,calcul!K$26:K$38,0))</f>
        <v> </v>
      </c>
      <c r="T428" s="508"/>
      <c r="U428" s="356"/>
      <c r="V428" s="359" t="str">
        <f>INDEX(calcul!AM$26:AM$38,MATCH(B428,calcul!K$26:K$38,0))</f>
        <v> </v>
      </c>
      <c r="W428" s="356"/>
      <c r="X428" s="357" t="str">
        <f>INDEX(calcul!AN$26:AN$38,MATCH(B428,calcul!K$26:K$38,0))</f>
        <v> </v>
      </c>
      <c r="Y428" s="368"/>
    </row>
    <row r="429" spans="2:25" ht="34.5" customHeight="1">
      <c r="B429" s="351"/>
      <c r="C429" s="352"/>
      <c r="D429" s="519" t="str">
        <f>IF(X428=" "," ",INDEX(calcul!E$26:E$38,MATCH(B428,calcul!K$26:K$38,0)))</f>
        <v> </v>
      </c>
      <c r="E429" s="520"/>
      <c r="F429" s="520"/>
      <c r="G429" s="520"/>
      <c r="H429" s="520"/>
      <c r="I429" s="520"/>
      <c r="J429" s="520"/>
      <c r="K429" s="520"/>
      <c r="L429" s="520"/>
      <c r="M429" s="520"/>
      <c r="N429" s="62"/>
      <c r="O429" s="190"/>
      <c r="P429" s="62"/>
      <c r="Q429" s="63"/>
      <c r="R429" s="191"/>
      <c r="S429" s="350"/>
      <c r="T429" s="350"/>
      <c r="U429" s="191"/>
      <c r="V429" s="193"/>
      <c r="W429" s="191"/>
      <c r="X429" s="192"/>
      <c r="Y429" s="47"/>
    </row>
    <row r="430" spans="2:25" s="4" customFormat="1" ht="34.5" customHeight="1">
      <c r="B430" s="521">
        <v>4</v>
      </c>
      <c r="C430" s="522"/>
      <c r="D430" s="523" t="str">
        <f>IF(X430=" "," ",INDEX(calcul!C$26:C$38,MATCH(B430,calcul!K$26:K$38,0)))</f>
        <v> </v>
      </c>
      <c r="E430" s="524"/>
      <c r="F430" s="524"/>
      <c r="G430" s="524"/>
      <c r="H430" s="524"/>
      <c r="I430" s="524"/>
      <c r="J430" s="524"/>
      <c r="K430" s="524"/>
      <c r="L430" s="524"/>
      <c r="M430" s="524"/>
      <c r="N430" s="238"/>
      <c r="O430" s="354" t="str">
        <f>IF(X430="-","?"," ")</f>
        <v> </v>
      </c>
      <c r="P430" s="238"/>
      <c r="Q430" s="355" t="str">
        <f>INDEX(calcul!AK$26:AK$38,MATCH(B430,calcul!K$26:K$38,0))</f>
        <v> </v>
      </c>
      <c r="R430" s="356"/>
      <c r="S430" s="508" t="str">
        <f>INDEX(calcul!AL$26:AL$38,MATCH(B430,calcul!K$26:K$38,0))</f>
        <v> </v>
      </c>
      <c r="T430" s="508"/>
      <c r="U430" s="356"/>
      <c r="V430" s="359" t="str">
        <f>INDEX(calcul!AM$26:AM$38,MATCH(B430,calcul!K$26:K$38,0))</f>
        <v> </v>
      </c>
      <c r="W430" s="356"/>
      <c r="X430" s="357" t="str">
        <f>INDEX(calcul!AN$26:AN$38,MATCH(B430,calcul!K$26:K$38,0))</f>
        <v> </v>
      </c>
      <c r="Y430" s="368"/>
    </row>
    <row r="431" spans="2:25" ht="34.5" customHeight="1">
      <c r="B431" s="351"/>
      <c r="C431" s="352"/>
      <c r="D431" s="519" t="str">
        <f>IF(X430=" "," ",INDEX(calcul!E$26:E$38,MATCH(B430,calcul!K$26:K$38,0)))</f>
        <v> </v>
      </c>
      <c r="E431" s="520"/>
      <c r="F431" s="520"/>
      <c r="G431" s="520"/>
      <c r="H431" s="520"/>
      <c r="I431" s="520"/>
      <c r="J431" s="520"/>
      <c r="K431" s="520"/>
      <c r="L431" s="520"/>
      <c r="M431" s="520"/>
      <c r="N431" s="62"/>
      <c r="O431" s="190"/>
      <c r="P431" s="62"/>
      <c r="Q431" s="63"/>
      <c r="R431" s="191"/>
      <c r="S431" s="350"/>
      <c r="T431" s="350"/>
      <c r="U431" s="191"/>
      <c r="V431" s="193"/>
      <c r="W431" s="191"/>
      <c r="X431" s="192"/>
      <c r="Y431" s="47"/>
    </row>
    <row r="432" spans="2:25" s="4" customFormat="1" ht="34.5" customHeight="1">
      <c r="B432" s="521">
        <v>5</v>
      </c>
      <c r="C432" s="522"/>
      <c r="D432" s="523" t="str">
        <f>IF(X432=" "," ",INDEX(calcul!C$26:C$38,MATCH(B432,calcul!K$26:K$38,0)))</f>
        <v> </v>
      </c>
      <c r="E432" s="524"/>
      <c r="F432" s="524"/>
      <c r="G432" s="524"/>
      <c r="H432" s="524"/>
      <c r="I432" s="524"/>
      <c r="J432" s="524"/>
      <c r="K432" s="524"/>
      <c r="L432" s="524"/>
      <c r="M432" s="524"/>
      <c r="N432" s="238"/>
      <c r="O432" s="354" t="str">
        <f>IF(X432="-","?"," ")</f>
        <v> </v>
      </c>
      <c r="P432" s="238"/>
      <c r="Q432" s="355" t="str">
        <f>INDEX(calcul!AK$26:AK$38,MATCH(B432,calcul!K$26:K$38,0))</f>
        <v> </v>
      </c>
      <c r="R432" s="356"/>
      <c r="S432" s="508" t="str">
        <f>INDEX(calcul!AL$26:AL$38,MATCH(B432,calcul!K$26:K$38,0))</f>
        <v> </v>
      </c>
      <c r="T432" s="508"/>
      <c r="U432" s="356"/>
      <c r="V432" s="359" t="str">
        <f>INDEX(calcul!AM$26:AM$38,MATCH(B432,calcul!K$26:K$38,0))</f>
        <v> </v>
      </c>
      <c r="W432" s="356"/>
      <c r="X432" s="357" t="str">
        <f>INDEX(calcul!AN$26:AN$38,MATCH(B432,calcul!K$26:K$38,0))</f>
        <v> </v>
      </c>
      <c r="Y432" s="368"/>
    </row>
    <row r="433" spans="2:25" ht="34.5" customHeight="1">
      <c r="B433" s="351"/>
      <c r="C433" s="352"/>
      <c r="D433" s="519" t="str">
        <f>IF(X432=" "," ",INDEX(calcul!E$26:E$38,MATCH(B432,calcul!K$26:K$38,0)))</f>
        <v> </v>
      </c>
      <c r="E433" s="520"/>
      <c r="F433" s="520"/>
      <c r="G433" s="520"/>
      <c r="H433" s="520"/>
      <c r="I433" s="520"/>
      <c r="J433" s="520"/>
      <c r="K433" s="520"/>
      <c r="L433" s="520"/>
      <c r="M433" s="520"/>
      <c r="N433" s="62"/>
      <c r="O433" s="190"/>
      <c r="P433" s="62"/>
      <c r="Q433" s="63"/>
      <c r="R433" s="191"/>
      <c r="S433" s="350"/>
      <c r="T433" s="350"/>
      <c r="U433" s="191"/>
      <c r="V433" s="193"/>
      <c r="W433" s="191"/>
      <c r="X433" s="192"/>
      <c r="Y433" s="47"/>
    </row>
    <row r="434" spans="2:25" s="4" customFormat="1" ht="34.5" customHeight="1">
      <c r="B434" s="521">
        <v>6</v>
      </c>
      <c r="C434" s="522"/>
      <c r="D434" s="523" t="str">
        <f>IF(X434=" "," ",INDEX(calcul!C$26:C$38,MATCH(B434,calcul!K$26:K$38,0)))</f>
        <v> </v>
      </c>
      <c r="E434" s="524"/>
      <c r="F434" s="524"/>
      <c r="G434" s="524"/>
      <c r="H434" s="524"/>
      <c r="I434" s="524"/>
      <c r="J434" s="524"/>
      <c r="K434" s="524"/>
      <c r="L434" s="524"/>
      <c r="M434" s="524"/>
      <c r="N434" s="238"/>
      <c r="O434" s="354" t="str">
        <f>IF(X434="-","?"," ")</f>
        <v> </v>
      </c>
      <c r="P434" s="238"/>
      <c r="Q434" s="355" t="str">
        <f>INDEX(calcul!AK$26:AK$38,MATCH(B434,calcul!K$26:K$38,0))</f>
        <v> </v>
      </c>
      <c r="R434" s="356"/>
      <c r="S434" s="508" t="str">
        <f>INDEX(calcul!AL$26:AL$38,MATCH(B434,calcul!K$26:K$38,0))</f>
        <v> </v>
      </c>
      <c r="T434" s="508"/>
      <c r="U434" s="356"/>
      <c r="V434" s="359" t="str">
        <f>INDEX(calcul!AM$26:AM$38,MATCH(B434,calcul!K$26:K$38,0))</f>
        <v> </v>
      </c>
      <c r="W434" s="356"/>
      <c r="X434" s="357" t="str">
        <f>INDEX(calcul!AN$26:AN$38,MATCH(B434,calcul!K$26:K$38,0))</f>
        <v> </v>
      </c>
      <c r="Y434" s="368"/>
    </row>
    <row r="435" spans="2:25" ht="34.5" customHeight="1">
      <c r="B435" s="351"/>
      <c r="C435" s="352"/>
      <c r="D435" s="519" t="str">
        <f>IF(X434=" "," ",INDEX(calcul!E$26:E$38,MATCH(B434,calcul!K$26:K$38,0)))</f>
        <v> </v>
      </c>
      <c r="E435" s="520"/>
      <c r="F435" s="520"/>
      <c r="G435" s="520"/>
      <c r="H435" s="520"/>
      <c r="I435" s="520"/>
      <c r="J435" s="520"/>
      <c r="K435" s="520"/>
      <c r="L435" s="520"/>
      <c r="M435" s="520"/>
      <c r="N435" s="62"/>
      <c r="O435" s="190"/>
      <c r="P435" s="62"/>
      <c r="Q435" s="63"/>
      <c r="R435" s="191"/>
      <c r="S435" s="350"/>
      <c r="T435" s="350"/>
      <c r="U435" s="191"/>
      <c r="V435" s="193"/>
      <c r="W435" s="191"/>
      <c r="X435" s="192"/>
      <c r="Y435" s="47"/>
    </row>
    <row r="436" spans="2:25" s="4" customFormat="1" ht="34.5" customHeight="1">
      <c r="B436" s="521">
        <v>7</v>
      </c>
      <c r="C436" s="522"/>
      <c r="D436" s="576" t="str">
        <f>IF(X436=" "," ",INDEX(calcul!C$26:C$38,MATCH(B436,calcul!K$26:K$38,0)))</f>
        <v> </v>
      </c>
      <c r="E436" s="577"/>
      <c r="F436" s="577"/>
      <c r="G436" s="577"/>
      <c r="H436" s="577"/>
      <c r="I436" s="577"/>
      <c r="J436" s="577"/>
      <c r="K436" s="577"/>
      <c r="L436" s="577"/>
      <c r="M436" s="577"/>
      <c r="N436" s="578"/>
      <c r="O436" s="579" t="str">
        <f>IF(X436="-","?"," ")</f>
        <v> </v>
      </c>
      <c r="P436" s="578"/>
      <c r="Q436" s="580" t="str">
        <f>INDEX(calcul!AK$26:AK$38,MATCH(B436,calcul!K$26:K$38,0))</f>
        <v> </v>
      </c>
      <c r="R436" s="581"/>
      <c r="S436" s="582" t="str">
        <f>INDEX(calcul!AL$26:AL$38,MATCH(B436,calcul!K$26:K$38,0))</f>
        <v> </v>
      </c>
      <c r="T436" s="582"/>
      <c r="U436" s="581"/>
      <c r="V436" s="359" t="str">
        <f>INDEX(calcul!AM$26:AM$38,MATCH(B436,calcul!K$26:K$38,0))</f>
        <v> </v>
      </c>
      <c r="W436" s="581"/>
      <c r="X436" s="583" t="str">
        <f>INDEX(calcul!AN$26:AN$38,MATCH(B436,calcul!K$26:K$38,0))</f>
        <v> </v>
      </c>
      <c r="Y436" s="368"/>
    </row>
    <row r="437" spans="2:25" ht="34.5" customHeight="1">
      <c r="B437" s="351"/>
      <c r="C437" s="352"/>
      <c r="D437" s="519" t="str">
        <f>IF(X436=" "," ",INDEX(calcul!E$26:E$38,MATCH(B436,calcul!K$26:K$38,0)))</f>
        <v> </v>
      </c>
      <c r="E437" s="520"/>
      <c r="F437" s="520"/>
      <c r="G437" s="520"/>
      <c r="H437" s="520"/>
      <c r="I437" s="520"/>
      <c r="J437" s="520"/>
      <c r="K437" s="520"/>
      <c r="L437" s="520"/>
      <c r="M437" s="520"/>
      <c r="N437" s="62"/>
      <c r="O437" s="190"/>
      <c r="P437" s="62"/>
      <c r="Q437" s="63"/>
      <c r="R437" s="191"/>
      <c r="S437" s="350"/>
      <c r="T437" s="350"/>
      <c r="U437" s="191"/>
      <c r="V437" s="193"/>
      <c r="W437" s="191"/>
      <c r="X437" s="192"/>
      <c r="Y437" s="47"/>
    </row>
    <row r="438" spans="2:25" s="4" customFormat="1" ht="34.5" customHeight="1">
      <c r="B438" s="521">
        <v>8</v>
      </c>
      <c r="C438" s="522"/>
      <c r="D438" s="523" t="str">
        <f>IF(X438=" "," ",INDEX(calcul!C$26:C$38,MATCH(B438,calcul!K$26:K$38,0)))</f>
        <v> </v>
      </c>
      <c r="E438" s="524"/>
      <c r="F438" s="524"/>
      <c r="G438" s="524"/>
      <c r="H438" s="524"/>
      <c r="I438" s="524"/>
      <c r="J438" s="524"/>
      <c r="K438" s="524"/>
      <c r="L438" s="524"/>
      <c r="M438" s="524"/>
      <c r="N438" s="238"/>
      <c r="O438" s="354" t="str">
        <f>IF(X438="-","?"," ")</f>
        <v> </v>
      </c>
      <c r="P438" s="238"/>
      <c r="Q438" s="355" t="str">
        <f>INDEX(calcul!AK$26:AK$38,MATCH(B438,calcul!K$26:K$38,0))</f>
        <v> </v>
      </c>
      <c r="R438" s="356"/>
      <c r="S438" s="508" t="str">
        <f>INDEX(calcul!AL$26:AL$38,MATCH(B438,calcul!K$26:K$38,0))</f>
        <v> </v>
      </c>
      <c r="T438" s="508"/>
      <c r="U438" s="356"/>
      <c r="V438" s="359" t="str">
        <f>INDEX(calcul!AM$26:AM$38,MATCH(B438,calcul!K$26:K$38,0))</f>
        <v> </v>
      </c>
      <c r="W438" s="356"/>
      <c r="X438" s="357" t="str">
        <f>INDEX(calcul!AN$26:AN$38,MATCH(B438,calcul!K$26:K$38,0))</f>
        <v> </v>
      </c>
      <c r="Y438" s="368"/>
    </row>
    <row r="439" spans="2:25" ht="34.5" customHeight="1">
      <c r="B439" s="351"/>
      <c r="C439" s="352"/>
      <c r="D439" s="519" t="str">
        <f>IF(X438=" "," ",INDEX(calcul!E$26:E$38,MATCH(B438,calcul!K$26:K$38,0)))</f>
        <v> </v>
      </c>
      <c r="E439" s="520"/>
      <c r="F439" s="520"/>
      <c r="G439" s="520"/>
      <c r="H439" s="520"/>
      <c r="I439" s="520"/>
      <c r="J439" s="520"/>
      <c r="K439" s="520"/>
      <c r="L439" s="520"/>
      <c r="M439" s="520"/>
      <c r="N439" s="62"/>
      <c r="O439" s="190"/>
      <c r="P439" s="62"/>
      <c r="Q439" s="63"/>
      <c r="R439" s="191"/>
      <c r="S439" s="350"/>
      <c r="T439" s="350"/>
      <c r="U439" s="191"/>
      <c r="V439" s="193"/>
      <c r="W439" s="191"/>
      <c r="X439" s="192"/>
      <c r="Y439" s="47"/>
    </row>
    <row r="440" spans="2:25" s="4" customFormat="1" ht="34.5" customHeight="1">
      <c r="B440" s="521">
        <v>9</v>
      </c>
      <c r="C440" s="522"/>
      <c r="D440" s="523" t="str">
        <f>IF(X440=" "," ",INDEX(calcul!C$26:C$38,MATCH(B440,calcul!K$26:K$38,0)))</f>
        <v> </v>
      </c>
      <c r="E440" s="524"/>
      <c r="F440" s="524"/>
      <c r="G440" s="524"/>
      <c r="H440" s="524"/>
      <c r="I440" s="524"/>
      <c r="J440" s="524"/>
      <c r="K440" s="524"/>
      <c r="L440" s="524"/>
      <c r="M440" s="524"/>
      <c r="N440" s="238"/>
      <c r="O440" s="354" t="str">
        <f>IF(X440="-","?"," ")</f>
        <v> </v>
      </c>
      <c r="P440" s="238"/>
      <c r="Q440" s="355" t="str">
        <f>INDEX(calcul!AK$26:AK$38,MATCH(B440,calcul!K$26:K$38,0))</f>
        <v> </v>
      </c>
      <c r="R440" s="356"/>
      <c r="S440" s="508" t="str">
        <f>INDEX(calcul!AL$26:AL$38,MATCH(B440,calcul!K$26:K$38,0))</f>
        <v> </v>
      </c>
      <c r="T440" s="508"/>
      <c r="U440" s="356"/>
      <c r="V440" s="359" t="str">
        <f>INDEX(calcul!AM$26:AM$38,MATCH(B440,calcul!K$26:K$38,0))</f>
        <v> </v>
      </c>
      <c r="W440" s="356"/>
      <c r="X440" s="357" t="str">
        <f>INDEX(calcul!AN$26:AN$38,MATCH(B440,calcul!K$26:K$38,0))</f>
        <v> </v>
      </c>
      <c r="Y440" s="368"/>
    </row>
    <row r="441" spans="2:25" ht="34.5" customHeight="1">
      <c r="B441" s="351"/>
      <c r="C441" s="352"/>
      <c r="D441" s="519" t="str">
        <f>IF(X440=" "," ",INDEX(calcul!E$26:E$38,MATCH(B440,calcul!K$26:K$38,0)))</f>
        <v> </v>
      </c>
      <c r="E441" s="520"/>
      <c r="F441" s="520"/>
      <c r="G441" s="520"/>
      <c r="H441" s="520"/>
      <c r="I441" s="520"/>
      <c r="J441" s="520"/>
      <c r="K441" s="520"/>
      <c r="L441" s="520"/>
      <c r="M441" s="520"/>
      <c r="N441" s="62"/>
      <c r="O441" s="190"/>
      <c r="P441" s="62"/>
      <c r="Q441" s="63"/>
      <c r="R441" s="191"/>
      <c r="S441" s="350"/>
      <c r="T441" s="350"/>
      <c r="U441" s="191"/>
      <c r="V441" s="193"/>
      <c r="W441" s="191"/>
      <c r="X441" s="192"/>
      <c r="Y441" s="47"/>
    </row>
    <row r="442" spans="2:25" s="4" customFormat="1" ht="34.5" customHeight="1">
      <c r="B442" s="521">
        <v>10</v>
      </c>
      <c r="C442" s="522"/>
      <c r="D442" s="523" t="str">
        <f>IF(X442=" "," ",INDEX(calcul!C$26:C$38,MATCH(B442,calcul!K$26:K$38,0)))</f>
        <v> </v>
      </c>
      <c r="E442" s="524"/>
      <c r="F442" s="524"/>
      <c r="G442" s="524"/>
      <c r="H442" s="524"/>
      <c r="I442" s="524"/>
      <c r="J442" s="524"/>
      <c r="K442" s="524"/>
      <c r="L442" s="524"/>
      <c r="M442" s="524"/>
      <c r="N442" s="238"/>
      <c r="O442" s="354" t="str">
        <f>IF(X442="-","?"," ")</f>
        <v> </v>
      </c>
      <c r="P442" s="238"/>
      <c r="Q442" s="355" t="str">
        <f>INDEX(calcul!AK$26:AK$38,MATCH(B442,calcul!K$26:K$38,0))</f>
        <v> </v>
      </c>
      <c r="R442" s="356"/>
      <c r="S442" s="508" t="str">
        <f>INDEX(calcul!AL$26:AL$38,MATCH(B442,calcul!K$26:K$38,0))</f>
        <v> </v>
      </c>
      <c r="T442" s="508"/>
      <c r="U442" s="356"/>
      <c r="V442" s="359" t="str">
        <f>INDEX(calcul!AM$26:AM$38,MATCH(B442,calcul!K$26:K$38,0))</f>
        <v> </v>
      </c>
      <c r="W442" s="356"/>
      <c r="X442" s="357" t="str">
        <f>INDEX(calcul!AN$26:AN$38,MATCH(B442,calcul!K$26:K$38,0))</f>
        <v> </v>
      </c>
      <c r="Y442" s="368"/>
    </row>
    <row r="443" spans="2:25" ht="34.5" customHeight="1">
      <c r="B443" s="351"/>
      <c r="C443" s="352"/>
      <c r="D443" s="519" t="str">
        <f>IF(X442=" "," ",INDEX(calcul!E$26:E$38,MATCH(B442,calcul!K$26:K$38,0)))</f>
        <v> </v>
      </c>
      <c r="E443" s="520"/>
      <c r="F443" s="520"/>
      <c r="G443" s="520"/>
      <c r="H443" s="520"/>
      <c r="I443" s="520"/>
      <c r="J443" s="520"/>
      <c r="K443" s="520"/>
      <c r="L443" s="520"/>
      <c r="M443" s="520"/>
      <c r="N443" s="62"/>
      <c r="O443" s="190"/>
      <c r="P443" s="62"/>
      <c r="Q443" s="63"/>
      <c r="R443" s="191"/>
      <c r="S443" s="350"/>
      <c r="T443" s="350"/>
      <c r="U443" s="191"/>
      <c r="V443" s="193"/>
      <c r="W443" s="191"/>
      <c r="X443" s="192"/>
      <c r="Y443" s="47"/>
    </row>
    <row r="444" spans="2:25" s="4" customFormat="1" ht="34.5" customHeight="1">
      <c r="B444" s="521">
        <v>11</v>
      </c>
      <c r="C444" s="522"/>
      <c r="D444" s="523" t="str">
        <f>IF(X444=" "," ",INDEX(calcul!C$26:C$38,MATCH(B444,calcul!K$26:K$38,0)))</f>
        <v> </v>
      </c>
      <c r="E444" s="524"/>
      <c r="F444" s="524"/>
      <c r="G444" s="524"/>
      <c r="H444" s="524"/>
      <c r="I444" s="524"/>
      <c r="J444" s="524"/>
      <c r="K444" s="524"/>
      <c r="L444" s="524"/>
      <c r="M444" s="524"/>
      <c r="N444" s="238"/>
      <c r="O444" s="354" t="str">
        <f>IF(X444="-","?"," ")</f>
        <v> </v>
      </c>
      <c r="P444" s="238"/>
      <c r="Q444" s="355" t="str">
        <f>INDEX(calcul!AK$26:AK$38,MATCH(B444,calcul!K$26:K$38,0))</f>
        <v> </v>
      </c>
      <c r="R444" s="356"/>
      <c r="S444" s="508" t="str">
        <f>INDEX(calcul!AL$26:AL$38,MATCH(B444,calcul!K$26:K$38,0))</f>
        <v> </v>
      </c>
      <c r="T444" s="508"/>
      <c r="U444" s="356"/>
      <c r="V444" s="359" t="str">
        <f>INDEX(calcul!AM$26:AM$38,MATCH(B444,calcul!K$26:K$38,0))</f>
        <v> </v>
      </c>
      <c r="W444" s="356"/>
      <c r="X444" s="357" t="str">
        <f>INDEX(calcul!AN$26:AN$38,MATCH(B444,calcul!K$26:K$38,0))</f>
        <v> </v>
      </c>
      <c r="Y444" s="368"/>
    </row>
    <row r="445" spans="2:25" ht="34.5" customHeight="1">
      <c r="B445" s="351"/>
      <c r="C445" s="352"/>
      <c r="D445" s="519" t="str">
        <f>IF(X444=" "," ",INDEX(calcul!E$26:E$38,MATCH(B444,calcul!K$26:K$38,0)))</f>
        <v> </v>
      </c>
      <c r="E445" s="520"/>
      <c r="F445" s="520"/>
      <c r="G445" s="520"/>
      <c r="H445" s="520"/>
      <c r="I445" s="520"/>
      <c r="J445" s="520"/>
      <c r="K445" s="520"/>
      <c r="L445" s="520"/>
      <c r="M445" s="520"/>
      <c r="N445" s="62"/>
      <c r="O445" s="190"/>
      <c r="P445" s="62"/>
      <c r="Q445" s="63"/>
      <c r="R445" s="191"/>
      <c r="S445" s="350"/>
      <c r="T445" s="350"/>
      <c r="U445" s="191"/>
      <c r="V445" s="193"/>
      <c r="W445" s="191"/>
      <c r="X445" s="192"/>
      <c r="Y445" s="47"/>
    </row>
    <row r="446" spans="2:25" s="4" customFormat="1" ht="34.5" customHeight="1">
      <c r="B446" s="521">
        <v>12</v>
      </c>
      <c r="C446" s="522"/>
      <c r="D446" s="523" t="str">
        <f>IF(X446=" "," ",INDEX(calcul!C$26:C$38,MATCH(B446,calcul!K$26:K$38,0)))</f>
        <v> </v>
      </c>
      <c r="E446" s="524"/>
      <c r="F446" s="524"/>
      <c r="G446" s="524"/>
      <c r="H446" s="524"/>
      <c r="I446" s="524"/>
      <c r="J446" s="524"/>
      <c r="K446" s="524"/>
      <c r="L446" s="524"/>
      <c r="M446" s="524"/>
      <c r="N446" s="238"/>
      <c r="O446" s="354" t="str">
        <f>IF(X446="-","?"," ")</f>
        <v> </v>
      </c>
      <c r="P446" s="238"/>
      <c r="Q446" s="355" t="str">
        <f>INDEX(calcul!AK$26:AK$38,MATCH(B446,calcul!K$26:K$38,0))</f>
        <v> </v>
      </c>
      <c r="R446" s="356"/>
      <c r="S446" s="508" t="str">
        <f>INDEX(calcul!AL$26:AL$38,MATCH(B446,calcul!K$26:K$38,0))</f>
        <v> </v>
      </c>
      <c r="T446" s="508"/>
      <c r="U446" s="356"/>
      <c r="V446" s="359" t="str">
        <f>INDEX(calcul!AM$26:AM$38,MATCH(B446,calcul!K$26:K$38,0))</f>
        <v> </v>
      </c>
      <c r="W446" s="356"/>
      <c r="X446" s="357" t="str">
        <f>INDEX(calcul!AN$26:AN$38,MATCH(B446,calcul!K$26:K$38,0))</f>
        <v> </v>
      </c>
      <c r="Y446" s="368"/>
    </row>
    <row r="447" spans="2:25" ht="34.5" customHeight="1">
      <c r="B447" s="351"/>
      <c r="C447" s="352"/>
      <c r="D447" s="519" t="str">
        <f>IF(X446=" "," ",INDEX(calcul!E$26:E$38,MATCH(B446,calcul!K$26:K$38,0)))</f>
        <v> </v>
      </c>
      <c r="E447" s="520"/>
      <c r="F447" s="520"/>
      <c r="G447" s="520"/>
      <c r="H447" s="520"/>
      <c r="I447" s="520"/>
      <c r="J447" s="520"/>
      <c r="K447" s="520"/>
      <c r="L447" s="520"/>
      <c r="M447" s="520"/>
      <c r="N447" s="62"/>
      <c r="O447" s="190"/>
      <c r="P447" s="62"/>
      <c r="Q447" s="63"/>
      <c r="R447" s="191"/>
      <c r="S447" s="350"/>
      <c r="T447" s="350"/>
      <c r="U447" s="191"/>
      <c r="V447" s="193"/>
      <c r="W447" s="191"/>
      <c r="X447" s="192"/>
      <c r="Y447" s="47"/>
    </row>
    <row r="448" spans="2:25" s="4" customFormat="1" ht="34.5" customHeight="1">
      <c r="B448" s="521">
        <v>13</v>
      </c>
      <c r="C448" s="522"/>
      <c r="D448" s="523" t="str">
        <f>IF(X448=" "," ",INDEX(calcul!C$26:C$38,MATCH(B448,calcul!K$26:K$38,0)))</f>
        <v> </v>
      </c>
      <c r="E448" s="524"/>
      <c r="F448" s="524"/>
      <c r="G448" s="524"/>
      <c r="H448" s="524"/>
      <c r="I448" s="524"/>
      <c r="J448" s="524"/>
      <c r="K448" s="524"/>
      <c r="L448" s="524"/>
      <c r="M448" s="524"/>
      <c r="N448" s="238"/>
      <c r="O448" s="354" t="str">
        <f>IF(X448="-","?"," ")</f>
        <v> </v>
      </c>
      <c r="P448" s="238"/>
      <c r="Q448" s="355" t="str">
        <f>INDEX(calcul!AK$26:AK$38,MATCH(B448,calcul!K$26:K$38,0))</f>
        <v> </v>
      </c>
      <c r="R448" s="356"/>
      <c r="S448" s="508" t="str">
        <f>INDEX(calcul!AL$26:AL$38,MATCH(B448,calcul!K$26:K$38,0))</f>
        <v> </v>
      </c>
      <c r="T448" s="508"/>
      <c r="U448" s="356"/>
      <c r="V448" s="359" t="str">
        <f>INDEX(calcul!AM$26:AM$38,MATCH(B448,calcul!K$26:K$38,0))</f>
        <v> </v>
      </c>
      <c r="W448" s="356"/>
      <c r="X448" s="357" t="str">
        <f>INDEX(calcul!AN$26:AN$38,MATCH(B448,calcul!K$26:K$38,0))</f>
        <v> </v>
      </c>
      <c r="Y448" s="368"/>
    </row>
    <row r="449" spans="2:25" ht="34.5" customHeight="1" thickBot="1">
      <c r="B449" s="351"/>
      <c r="C449" s="352"/>
      <c r="D449" s="519" t="str">
        <f>IF(X448=" "," ",INDEX(calcul!E$26:E$38,MATCH(B448,calcul!K$26:K$38,0)))</f>
        <v> </v>
      </c>
      <c r="E449" s="520"/>
      <c r="F449" s="520"/>
      <c r="G449" s="520"/>
      <c r="H449" s="520"/>
      <c r="I449" s="520"/>
      <c r="J449" s="520"/>
      <c r="K449" s="520"/>
      <c r="L449" s="520"/>
      <c r="M449" s="520"/>
      <c r="N449" s="62"/>
      <c r="O449" s="190"/>
      <c r="P449" s="62"/>
      <c r="Q449" s="63"/>
      <c r="R449" s="191"/>
      <c r="S449" s="350"/>
      <c r="T449" s="350"/>
      <c r="U449" s="191"/>
      <c r="V449" s="361"/>
      <c r="W449" s="191"/>
      <c r="X449" s="192"/>
      <c r="Y449" s="47"/>
    </row>
    <row r="450" spans="3:24" ht="21" customHeight="1" thickBot="1">
      <c r="C450" s="54"/>
      <c r="D450" s="54"/>
      <c r="E450" s="54"/>
      <c r="F450" s="54"/>
      <c r="G450" s="54"/>
      <c r="H450" s="54"/>
      <c r="I450" s="54"/>
      <c r="M450" s="54"/>
      <c r="N450" s="54"/>
      <c r="O450" s="54"/>
      <c r="P450" s="54"/>
      <c r="Q450" s="54"/>
      <c r="R450" s="54"/>
      <c r="S450" s="54"/>
      <c r="T450" s="54"/>
      <c r="U450" s="54"/>
      <c r="V450" s="196"/>
      <c r="W450" s="54"/>
      <c r="X450" s="64"/>
    </row>
    <row r="451" spans="2:25" s="14" customFormat="1" ht="19.5" customHeight="1" thickBot="1">
      <c r="B451" s="83" t="s">
        <v>9</v>
      </c>
      <c r="C451" s="60"/>
      <c r="D451" s="61"/>
      <c r="E451" s="61"/>
      <c r="F451" s="61"/>
      <c r="G451" s="61"/>
      <c r="H451" s="61"/>
      <c r="I451" s="61"/>
      <c r="J451" s="34"/>
      <c r="K451" s="34"/>
      <c r="L451" s="34"/>
      <c r="M451" s="61"/>
      <c r="N451" s="61"/>
      <c r="O451" s="61"/>
      <c r="P451" s="61"/>
      <c r="Q451" s="61"/>
      <c r="R451" s="61"/>
      <c r="S451" s="61"/>
      <c r="T451" s="61"/>
      <c r="U451" s="61"/>
      <c r="V451" s="197"/>
      <c r="W451" s="61"/>
      <c r="X451" s="61"/>
      <c r="Y451" s="35"/>
    </row>
    <row r="452" spans="3:24" ht="9.75" customHeight="1">
      <c r="C452" s="54"/>
      <c r="D452" s="54"/>
      <c r="E452" s="54"/>
      <c r="F452" s="54"/>
      <c r="G452" s="54"/>
      <c r="H452" s="54"/>
      <c r="I452" s="54"/>
      <c r="M452" s="54"/>
      <c r="N452" s="54"/>
      <c r="O452" s="54"/>
      <c r="P452" s="54"/>
      <c r="Q452" s="54"/>
      <c r="R452" s="54"/>
      <c r="S452" s="54"/>
      <c r="T452" s="54"/>
      <c r="U452" s="54"/>
      <c r="V452" s="196"/>
      <c r="W452" s="54"/>
      <c r="X452" s="54"/>
    </row>
    <row r="453" spans="2:24" s="4" customFormat="1" ht="34.5" customHeight="1">
      <c r="B453" s="509">
        <v>1</v>
      </c>
      <c r="C453" s="510"/>
      <c r="D453" s="523" t="str">
        <f>IF(X453=" "," ",INDEX(calcul!C$41:C60,MATCH(B453,calcul!K$41:K$60,0)))</f>
        <v> </v>
      </c>
      <c r="E453" s="524"/>
      <c r="F453" s="524"/>
      <c r="G453" s="524"/>
      <c r="H453" s="524"/>
      <c r="I453" s="524"/>
      <c r="J453" s="524"/>
      <c r="K453" s="524"/>
      <c r="L453" s="524"/>
      <c r="M453" s="524"/>
      <c r="N453" s="238"/>
      <c r="O453" s="354" t="str">
        <f>IF(X453="-","?"," ")</f>
        <v> </v>
      </c>
      <c r="P453" s="238"/>
      <c r="Q453" s="355" t="str">
        <f>INDEX(calcul!AK$41:AK$60,MATCH(B453,calcul!K$41:K$60,0))</f>
        <v> </v>
      </c>
      <c r="R453" s="356"/>
      <c r="S453" s="508" t="str">
        <f>INDEX(calcul!AL$41:AL$60,MATCH(B453,calcul!K$41:K$60,0))</f>
        <v> </v>
      </c>
      <c r="T453" s="508"/>
      <c r="U453" s="356"/>
      <c r="V453" s="300" t="str">
        <f>INDEX(calcul!AM$41:AM$60,MATCH(B453,calcul!K$41:K$60,0))</f>
        <v> </v>
      </c>
      <c r="W453" s="356"/>
      <c r="X453" s="357" t="str">
        <f>INDEX(calcul!AN$41:AN$60,MATCH(B453,calcul!K$41:K$60,0))</f>
        <v> </v>
      </c>
    </row>
    <row r="454" spans="2:25" ht="33.75" customHeight="1">
      <c r="B454" s="351"/>
      <c r="C454" s="352"/>
      <c r="D454" s="519" t="str">
        <f>IF(X453=" "," ",INDEX(calcul!E$41:E$60,MATCH(B453,calcul!K$41:K$60,0)))</f>
        <v> </v>
      </c>
      <c r="E454" s="520"/>
      <c r="F454" s="520"/>
      <c r="G454" s="520"/>
      <c r="H454" s="520"/>
      <c r="I454" s="520"/>
      <c r="J454" s="520"/>
      <c r="K454" s="520"/>
      <c r="L454" s="520"/>
      <c r="M454" s="520"/>
      <c r="N454" s="62"/>
      <c r="O454" s="190"/>
      <c r="P454" s="62"/>
      <c r="Q454" s="63"/>
      <c r="R454" s="191"/>
      <c r="S454" s="350"/>
      <c r="T454" s="350"/>
      <c r="U454" s="191"/>
      <c r="V454" s="301"/>
      <c r="W454" s="191"/>
      <c r="X454" s="192"/>
      <c r="Y454" s="47"/>
    </row>
    <row r="455" spans="2:25" s="4" customFormat="1" ht="34.5" customHeight="1">
      <c r="B455" s="521">
        <v>2</v>
      </c>
      <c r="C455" s="522"/>
      <c r="D455" s="523" t="str">
        <f>IF(X455=" "," ",INDEX(calcul!C$41:C62,MATCH(B455,calcul!K$41:K$60,0)))</f>
        <v> </v>
      </c>
      <c r="E455" s="524"/>
      <c r="F455" s="524"/>
      <c r="G455" s="524"/>
      <c r="H455" s="524"/>
      <c r="I455" s="524"/>
      <c r="J455" s="524"/>
      <c r="K455" s="524"/>
      <c r="L455" s="524"/>
      <c r="M455" s="524"/>
      <c r="N455" s="238"/>
      <c r="O455" s="354" t="str">
        <f>IF(X455="-","?"," ")</f>
        <v> </v>
      </c>
      <c r="P455" s="238"/>
      <c r="Q455" s="355" t="str">
        <f>INDEX(calcul!AK$41:AK$60,MATCH(B455,calcul!K$41:K$60,0))</f>
        <v> </v>
      </c>
      <c r="R455" s="356"/>
      <c r="S455" s="508" t="str">
        <f>INDEX(calcul!AL$41:AL$60,MATCH(B455,calcul!K$41:K$60,0))</f>
        <v> </v>
      </c>
      <c r="T455" s="508"/>
      <c r="U455" s="356"/>
      <c r="V455" s="359" t="str">
        <f>INDEX(calcul!AM$41:AM$60,MATCH(B455,calcul!K$41:K$60,0))</f>
        <v> </v>
      </c>
      <c r="W455" s="356"/>
      <c r="X455" s="357" t="str">
        <f>INDEX(calcul!AN$41:AN$60,MATCH(B455,calcul!K$41:K$60,0))</f>
        <v> </v>
      </c>
      <c r="Y455" s="368"/>
    </row>
    <row r="456" spans="2:25" ht="33.75" customHeight="1">
      <c r="B456" s="351"/>
      <c r="C456" s="352"/>
      <c r="D456" s="519" t="str">
        <f>IF(X455=" "," ",INDEX(calcul!E$41:E$60,MATCH(B455,calcul!K$41:K$60,0)))</f>
        <v> </v>
      </c>
      <c r="E456" s="520"/>
      <c r="F456" s="520"/>
      <c r="G456" s="520"/>
      <c r="H456" s="520"/>
      <c r="I456" s="520"/>
      <c r="J456" s="520"/>
      <c r="K456" s="520"/>
      <c r="L456" s="520"/>
      <c r="M456" s="520"/>
      <c r="N456" s="62"/>
      <c r="O456" s="190"/>
      <c r="P456" s="62"/>
      <c r="Q456" s="63"/>
      <c r="R456" s="191"/>
      <c r="S456" s="350"/>
      <c r="T456" s="350"/>
      <c r="U456" s="191"/>
      <c r="V456" s="193"/>
      <c r="W456" s="191"/>
      <c r="X456" s="192"/>
      <c r="Y456" s="47"/>
    </row>
    <row r="457" spans="2:25" s="4" customFormat="1" ht="34.5" customHeight="1">
      <c r="B457" s="521">
        <v>3</v>
      </c>
      <c r="C457" s="522"/>
      <c r="D457" s="523" t="str">
        <f>IF(X457=" "," ",INDEX(calcul!C$41:C64,MATCH(B457,calcul!K$41:K$60,0)))</f>
        <v> </v>
      </c>
      <c r="E457" s="524"/>
      <c r="F457" s="524"/>
      <c r="G457" s="524"/>
      <c r="H457" s="524"/>
      <c r="I457" s="524"/>
      <c r="J457" s="524"/>
      <c r="K457" s="524"/>
      <c r="L457" s="524"/>
      <c r="M457" s="524"/>
      <c r="N457" s="238"/>
      <c r="O457" s="354" t="str">
        <f>IF(X457="-","?"," ")</f>
        <v> </v>
      </c>
      <c r="P457" s="238"/>
      <c r="Q457" s="355" t="str">
        <f>INDEX(calcul!AK$41:AK$60,MATCH(B457,calcul!K$41:K$60,0))</f>
        <v> </v>
      </c>
      <c r="R457" s="356"/>
      <c r="S457" s="508" t="str">
        <f>INDEX(calcul!AL$41:AL$60,MATCH(B457,calcul!K$41:K$60,0))</f>
        <v> </v>
      </c>
      <c r="T457" s="508"/>
      <c r="U457" s="356"/>
      <c r="V457" s="359" t="str">
        <f>INDEX(calcul!AM$41:AM$60,MATCH(B457,calcul!K$41:K$60,0))</f>
        <v> </v>
      </c>
      <c r="W457" s="356"/>
      <c r="X457" s="357" t="str">
        <f>INDEX(calcul!AN$41:AN$60,MATCH(B457,calcul!K$41:K$60,0))</f>
        <v> </v>
      </c>
      <c r="Y457" s="368"/>
    </row>
    <row r="458" spans="2:25" ht="33.75" customHeight="1">
      <c r="B458" s="351"/>
      <c r="C458" s="352"/>
      <c r="D458" s="519" t="str">
        <f>IF(X457=" "," ",INDEX(calcul!E$41:E$60,MATCH(B457,calcul!K$41:K$60,0)))</f>
        <v> </v>
      </c>
      <c r="E458" s="520"/>
      <c r="F458" s="520"/>
      <c r="G458" s="520"/>
      <c r="H458" s="520"/>
      <c r="I458" s="520"/>
      <c r="J458" s="520"/>
      <c r="K458" s="520"/>
      <c r="L458" s="520"/>
      <c r="M458" s="520"/>
      <c r="N458" s="62"/>
      <c r="O458" s="190"/>
      <c r="P458" s="62"/>
      <c r="Q458" s="63"/>
      <c r="R458" s="191"/>
      <c r="S458" s="350"/>
      <c r="T458" s="350"/>
      <c r="U458" s="191"/>
      <c r="V458" s="193"/>
      <c r="W458" s="191"/>
      <c r="X458" s="192"/>
      <c r="Y458" s="47"/>
    </row>
    <row r="459" spans="2:25" s="4" customFormat="1" ht="34.5" customHeight="1">
      <c r="B459" s="521">
        <v>4</v>
      </c>
      <c r="C459" s="522"/>
      <c r="D459" s="576" t="str">
        <f>IF(X459=" "," ",INDEX(calcul!C$41:C66,MATCH(B459,calcul!K$41:K$60,0)))</f>
        <v> </v>
      </c>
      <c r="E459" s="577"/>
      <c r="F459" s="577"/>
      <c r="G459" s="577"/>
      <c r="H459" s="577"/>
      <c r="I459" s="577"/>
      <c r="J459" s="577"/>
      <c r="K459" s="577"/>
      <c r="L459" s="577"/>
      <c r="M459" s="577"/>
      <c r="N459" s="578"/>
      <c r="O459" s="579" t="str">
        <f>IF(X459="-","?"," ")</f>
        <v> </v>
      </c>
      <c r="P459" s="578"/>
      <c r="Q459" s="580" t="str">
        <f>INDEX(calcul!AK$41:AK$60,MATCH(B459,calcul!K$41:K$60,0))</f>
        <v> </v>
      </c>
      <c r="R459" s="581"/>
      <c r="S459" s="582" t="str">
        <f>INDEX(calcul!AL$41:AL$60,MATCH(B459,calcul!K$41:K$60,0))</f>
        <v> </v>
      </c>
      <c r="T459" s="582"/>
      <c r="U459" s="581"/>
      <c r="V459" s="359" t="str">
        <f>INDEX(calcul!AM$41:AM$60,MATCH(B459,calcul!K$41:K$60,0))</f>
        <v> </v>
      </c>
      <c r="W459" s="581"/>
      <c r="X459" s="583" t="str">
        <f>INDEX(calcul!AN$41:AN$60,MATCH(B459,calcul!K$41:K$60,0))</f>
        <v> </v>
      </c>
      <c r="Y459" s="368"/>
    </row>
    <row r="460" spans="2:25" ht="33.75" customHeight="1">
      <c r="B460" s="351"/>
      <c r="C460" s="352"/>
      <c r="D460" s="519" t="str">
        <f>IF(X459=" "," ",INDEX(calcul!E$41:E$60,MATCH(B459,calcul!K$41:K$60,0)))</f>
        <v> </v>
      </c>
      <c r="E460" s="520"/>
      <c r="F460" s="520"/>
      <c r="G460" s="520"/>
      <c r="H460" s="520"/>
      <c r="I460" s="520"/>
      <c r="J460" s="520"/>
      <c r="K460" s="520"/>
      <c r="L460" s="520"/>
      <c r="M460" s="520"/>
      <c r="N460" s="62"/>
      <c r="O460" s="190"/>
      <c r="P460" s="62"/>
      <c r="Q460" s="63"/>
      <c r="R460" s="191"/>
      <c r="S460" s="350"/>
      <c r="T460" s="350"/>
      <c r="U460" s="191"/>
      <c r="V460" s="193"/>
      <c r="W460" s="191"/>
      <c r="X460" s="192"/>
      <c r="Y460" s="47"/>
    </row>
    <row r="461" spans="2:25" s="4" customFormat="1" ht="34.5" customHeight="1">
      <c r="B461" s="521">
        <v>5</v>
      </c>
      <c r="C461" s="522"/>
      <c r="D461" s="523" t="str">
        <f>IF(X461=" "," ",INDEX(calcul!C$41:C68,MATCH(B461,calcul!K$41:K$60,0)))</f>
        <v> </v>
      </c>
      <c r="E461" s="524"/>
      <c r="F461" s="524"/>
      <c r="G461" s="524"/>
      <c r="H461" s="524"/>
      <c r="I461" s="524"/>
      <c r="J461" s="524"/>
      <c r="K461" s="524"/>
      <c r="L461" s="524"/>
      <c r="M461" s="524"/>
      <c r="N461" s="238"/>
      <c r="O461" s="354" t="str">
        <f>IF(X461="-","?"," ")</f>
        <v> </v>
      </c>
      <c r="P461" s="238"/>
      <c r="Q461" s="355" t="str">
        <f>INDEX(calcul!AK$41:AK$60,MATCH(B461,calcul!K$41:K$60,0))</f>
        <v> </v>
      </c>
      <c r="R461" s="356"/>
      <c r="S461" s="508" t="str">
        <f>INDEX(calcul!AL$41:AL$60,MATCH(B461,calcul!K$41:K$60,0))</f>
        <v> </v>
      </c>
      <c r="T461" s="508"/>
      <c r="U461" s="356"/>
      <c r="V461" s="359" t="str">
        <f>INDEX(calcul!AM$41:AM$60,MATCH(B461,calcul!K$41:K$60,0))</f>
        <v> </v>
      </c>
      <c r="W461" s="356"/>
      <c r="X461" s="357" t="str">
        <f>INDEX(calcul!AN$41:AN$60,MATCH(B461,calcul!K$41:K$60,0))</f>
        <v> </v>
      </c>
      <c r="Y461" s="368"/>
    </row>
    <row r="462" spans="2:25" ht="33.75" customHeight="1">
      <c r="B462" s="351"/>
      <c r="C462" s="352"/>
      <c r="D462" s="519" t="str">
        <f>IF(X461=" "," ",INDEX(calcul!E$41:E$60,MATCH(B461,calcul!K$41:K$60,0)))</f>
        <v> </v>
      </c>
      <c r="E462" s="520"/>
      <c r="F462" s="520"/>
      <c r="G462" s="520"/>
      <c r="H462" s="520"/>
      <c r="I462" s="520"/>
      <c r="J462" s="520"/>
      <c r="K462" s="520"/>
      <c r="L462" s="520"/>
      <c r="M462" s="520"/>
      <c r="N462" s="62"/>
      <c r="O462" s="190"/>
      <c r="P462" s="62"/>
      <c r="Q462" s="63"/>
      <c r="R462" s="191"/>
      <c r="S462" s="350"/>
      <c r="T462" s="350"/>
      <c r="U462" s="191"/>
      <c r="V462" s="193"/>
      <c r="W462" s="191"/>
      <c r="X462" s="192"/>
      <c r="Y462" s="47"/>
    </row>
    <row r="463" spans="2:25" s="4" customFormat="1" ht="34.5" customHeight="1">
      <c r="B463" s="521">
        <v>6</v>
      </c>
      <c r="C463" s="522"/>
      <c r="D463" s="523" t="str">
        <f>IF(X463=" "," ",INDEX(calcul!C$41:C70,MATCH(B463,calcul!K$41:K$60,0)))</f>
        <v> </v>
      </c>
      <c r="E463" s="524"/>
      <c r="F463" s="524"/>
      <c r="G463" s="524"/>
      <c r="H463" s="524"/>
      <c r="I463" s="524"/>
      <c r="J463" s="524"/>
      <c r="K463" s="524"/>
      <c r="L463" s="524"/>
      <c r="M463" s="524"/>
      <c r="N463" s="238"/>
      <c r="O463" s="354" t="str">
        <f>IF(X463="-","?"," ")</f>
        <v> </v>
      </c>
      <c r="P463" s="238"/>
      <c r="Q463" s="355" t="str">
        <f>INDEX(calcul!AK$41:AK$60,MATCH(B463,calcul!K$41:K$60,0))</f>
        <v> </v>
      </c>
      <c r="R463" s="356"/>
      <c r="S463" s="508" t="str">
        <f>INDEX(calcul!AL$41:AL$60,MATCH(B463,calcul!K$41:K$60,0))</f>
        <v> </v>
      </c>
      <c r="T463" s="508"/>
      <c r="U463" s="356"/>
      <c r="V463" s="359" t="str">
        <f>INDEX(calcul!AM$41:AM$60,MATCH(B463,calcul!K$41:K$60,0))</f>
        <v> </v>
      </c>
      <c r="W463" s="356"/>
      <c r="X463" s="357" t="str">
        <f>INDEX(calcul!AN$41:AN$60,MATCH(B463,calcul!K$41:K$60,0))</f>
        <v> </v>
      </c>
      <c r="Y463" s="368"/>
    </row>
    <row r="464" spans="2:25" ht="33.75" customHeight="1">
      <c r="B464" s="351"/>
      <c r="C464" s="352"/>
      <c r="D464" s="519" t="str">
        <f>IF(X463=" "," ",INDEX(calcul!E$41:E$60,MATCH(B463,calcul!K$41:K$60,0)))</f>
        <v> </v>
      </c>
      <c r="E464" s="520"/>
      <c r="F464" s="520"/>
      <c r="G464" s="520"/>
      <c r="H464" s="520"/>
      <c r="I464" s="520"/>
      <c r="J464" s="520"/>
      <c r="K464" s="520"/>
      <c r="L464" s="520"/>
      <c r="M464" s="520"/>
      <c r="N464" s="62"/>
      <c r="O464" s="190"/>
      <c r="P464" s="62"/>
      <c r="Q464" s="63"/>
      <c r="R464" s="191"/>
      <c r="S464" s="350"/>
      <c r="T464" s="350"/>
      <c r="U464" s="191"/>
      <c r="V464" s="193"/>
      <c r="W464" s="191"/>
      <c r="X464" s="192"/>
      <c r="Y464" s="47"/>
    </row>
    <row r="465" spans="2:25" s="4" customFormat="1" ht="34.5" customHeight="1">
      <c r="B465" s="521">
        <v>7</v>
      </c>
      <c r="C465" s="522"/>
      <c r="D465" s="523" t="str">
        <f>IF(X465=" "," ",INDEX(calcul!C$41:C72,MATCH(B465,calcul!K$41:K$60,0)))</f>
        <v> </v>
      </c>
      <c r="E465" s="524"/>
      <c r="F465" s="524"/>
      <c r="G465" s="524"/>
      <c r="H465" s="524"/>
      <c r="I465" s="524"/>
      <c r="J465" s="524"/>
      <c r="K465" s="524"/>
      <c r="L465" s="524"/>
      <c r="M465" s="524"/>
      <c r="N465" s="238"/>
      <c r="O465" s="354" t="str">
        <f>IF(X465="-","?"," ")</f>
        <v> </v>
      </c>
      <c r="P465" s="238"/>
      <c r="Q465" s="355" t="str">
        <f>INDEX(calcul!AK$41:AK$60,MATCH(B465,calcul!K$41:K$60,0))</f>
        <v> </v>
      </c>
      <c r="R465" s="356"/>
      <c r="S465" s="508" t="str">
        <f>INDEX(calcul!AL$41:AL$60,MATCH(B465,calcul!K$41:K$60,0))</f>
        <v> </v>
      </c>
      <c r="T465" s="508"/>
      <c r="U465" s="356"/>
      <c r="V465" s="359" t="str">
        <f>INDEX(calcul!AM$41:AM$60,MATCH(B465,calcul!K$41:K$60,0))</f>
        <v> </v>
      </c>
      <c r="W465" s="356"/>
      <c r="X465" s="357" t="str">
        <f>INDEX(calcul!AN$41:AN$60,MATCH(B465,calcul!K$41:K$60,0))</f>
        <v> </v>
      </c>
      <c r="Y465" s="368"/>
    </row>
    <row r="466" spans="2:25" ht="33.75" customHeight="1">
      <c r="B466" s="351"/>
      <c r="C466" s="352"/>
      <c r="D466" s="519" t="str">
        <f>IF(X465=" "," ",INDEX(calcul!E$41:E$60,MATCH(B465,calcul!K$41:K$60,0)))</f>
        <v> </v>
      </c>
      <c r="E466" s="520"/>
      <c r="F466" s="520"/>
      <c r="G466" s="520"/>
      <c r="H466" s="520"/>
      <c r="I466" s="520"/>
      <c r="J466" s="520"/>
      <c r="K466" s="520"/>
      <c r="L466" s="520"/>
      <c r="M466" s="520"/>
      <c r="N466" s="62"/>
      <c r="O466" s="190"/>
      <c r="P466" s="62"/>
      <c r="Q466" s="63"/>
      <c r="R466" s="191"/>
      <c r="S466" s="350"/>
      <c r="T466" s="350"/>
      <c r="U466" s="191"/>
      <c r="V466" s="193"/>
      <c r="W466" s="191"/>
      <c r="X466" s="192"/>
      <c r="Y466" s="47"/>
    </row>
    <row r="467" spans="2:25" s="4" customFormat="1" ht="34.5" customHeight="1">
      <c r="B467" s="521">
        <v>8</v>
      </c>
      <c r="C467" s="522"/>
      <c r="D467" s="523" t="str">
        <f>IF(X467=" "," ",INDEX(calcul!C$41:C74,MATCH(B467,calcul!K$41:K$60,0)))</f>
        <v> </v>
      </c>
      <c r="E467" s="524"/>
      <c r="F467" s="524"/>
      <c r="G467" s="524"/>
      <c r="H467" s="524"/>
      <c r="I467" s="524"/>
      <c r="J467" s="524"/>
      <c r="K467" s="524"/>
      <c r="L467" s="524"/>
      <c r="M467" s="524"/>
      <c r="N467" s="238"/>
      <c r="O467" s="354" t="str">
        <f>IF(X467="-","?"," ")</f>
        <v> </v>
      </c>
      <c r="P467" s="238"/>
      <c r="Q467" s="355" t="str">
        <f>INDEX(calcul!AK$41:AK$60,MATCH(B467,calcul!K$41:K$60,0))</f>
        <v> </v>
      </c>
      <c r="R467" s="356"/>
      <c r="S467" s="508" t="str">
        <f>INDEX(calcul!AL$41:AL$60,MATCH(B467,calcul!K$41:K$60,0))</f>
        <v> </v>
      </c>
      <c r="T467" s="508"/>
      <c r="U467" s="356"/>
      <c r="V467" s="359" t="str">
        <f>INDEX(calcul!AM$41:AM$60,MATCH(B467,calcul!K$41:K$60,0))</f>
        <v> </v>
      </c>
      <c r="W467" s="356"/>
      <c r="X467" s="357" t="str">
        <f>INDEX(calcul!AN$41:AN$60,MATCH(B467,calcul!K$41:K$60,0))</f>
        <v> </v>
      </c>
      <c r="Y467" s="368"/>
    </row>
    <row r="468" spans="2:25" ht="33.75" customHeight="1">
      <c r="B468" s="351"/>
      <c r="C468" s="352"/>
      <c r="D468" s="519" t="str">
        <f>IF(X467=" "," ",INDEX(calcul!E$41:E$60,MATCH(B467,calcul!K$41:K$60,0)))</f>
        <v> </v>
      </c>
      <c r="E468" s="520"/>
      <c r="F468" s="520"/>
      <c r="G468" s="520"/>
      <c r="H468" s="520"/>
      <c r="I468" s="520"/>
      <c r="J468" s="520"/>
      <c r="K468" s="520"/>
      <c r="L468" s="520"/>
      <c r="M468" s="520"/>
      <c r="N468" s="62"/>
      <c r="O468" s="190"/>
      <c r="P468" s="62"/>
      <c r="Q468" s="63"/>
      <c r="R468" s="191"/>
      <c r="S468" s="350"/>
      <c r="T468" s="350"/>
      <c r="U468" s="191"/>
      <c r="V468" s="193"/>
      <c r="W468" s="191"/>
      <c r="X468" s="192"/>
      <c r="Y468" s="47"/>
    </row>
    <row r="469" spans="2:25" s="4" customFormat="1" ht="34.5" customHeight="1">
      <c r="B469" s="521">
        <v>9</v>
      </c>
      <c r="C469" s="522"/>
      <c r="D469" s="523" t="str">
        <f>IF(X469=" "," ",INDEX(calcul!C$41:C76,MATCH(B469,calcul!K$41:K$60,0)))</f>
        <v> </v>
      </c>
      <c r="E469" s="524"/>
      <c r="F469" s="524"/>
      <c r="G469" s="524"/>
      <c r="H469" s="524"/>
      <c r="I469" s="524"/>
      <c r="J469" s="524"/>
      <c r="K469" s="524"/>
      <c r="L469" s="524"/>
      <c r="M469" s="524"/>
      <c r="N469" s="238"/>
      <c r="O469" s="354" t="str">
        <f>IF(X469="-","?"," ")</f>
        <v> </v>
      </c>
      <c r="P469" s="238"/>
      <c r="Q469" s="355" t="str">
        <f>INDEX(calcul!AK$41:AK$60,MATCH(B469,calcul!K$41:K$60,0))</f>
        <v> </v>
      </c>
      <c r="R469" s="356"/>
      <c r="S469" s="508" t="str">
        <f>INDEX(calcul!AL$41:AL$60,MATCH(B469,calcul!K$41:K$60,0))</f>
        <v> </v>
      </c>
      <c r="T469" s="508"/>
      <c r="U469" s="356"/>
      <c r="V469" s="359" t="str">
        <f>INDEX(calcul!AM$41:AM$60,MATCH(B469,calcul!K$41:K$60,0))</f>
        <v> </v>
      </c>
      <c r="W469" s="356"/>
      <c r="X469" s="357" t="str">
        <f>INDEX(calcul!AN$41:AN$60,MATCH(B469,calcul!K$41:K$60,0))</f>
        <v> </v>
      </c>
      <c r="Y469" s="368"/>
    </row>
    <row r="470" spans="2:25" ht="33.75" customHeight="1">
      <c r="B470" s="351"/>
      <c r="C470" s="352"/>
      <c r="D470" s="519" t="str">
        <f>IF(X469=" "," ",INDEX(calcul!E$41:E$60,MATCH(B469,calcul!K$41:K$60,0)))</f>
        <v> </v>
      </c>
      <c r="E470" s="520"/>
      <c r="F470" s="520"/>
      <c r="G470" s="520"/>
      <c r="H470" s="520"/>
      <c r="I470" s="520"/>
      <c r="J470" s="520"/>
      <c r="K470" s="520"/>
      <c r="L470" s="520"/>
      <c r="M470" s="520"/>
      <c r="N470" s="62"/>
      <c r="O470" s="190"/>
      <c r="P470" s="62"/>
      <c r="Q470" s="63"/>
      <c r="R470" s="191"/>
      <c r="S470" s="350"/>
      <c r="T470" s="350"/>
      <c r="U470" s="191"/>
      <c r="V470" s="193"/>
      <c r="W470" s="191"/>
      <c r="X470" s="192"/>
      <c r="Y470" s="47"/>
    </row>
    <row r="471" spans="2:25" s="4" customFormat="1" ht="34.5" customHeight="1">
      <c r="B471" s="521">
        <v>10</v>
      </c>
      <c r="C471" s="522"/>
      <c r="D471" s="523" t="str">
        <f>IF(X471=" "," ",INDEX(calcul!C$41:C78,MATCH(B471,calcul!K$41:K$60,0)))</f>
        <v> </v>
      </c>
      <c r="E471" s="524"/>
      <c r="F471" s="524"/>
      <c r="G471" s="524"/>
      <c r="H471" s="524"/>
      <c r="I471" s="524"/>
      <c r="J471" s="524"/>
      <c r="K471" s="524"/>
      <c r="L471" s="524"/>
      <c r="M471" s="524"/>
      <c r="N471" s="238"/>
      <c r="O471" s="354" t="str">
        <f>IF(X471="-","?"," ")</f>
        <v> </v>
      </c>
      <c r="P471" s="238"/>
      <c r="Q471" s="355" t="str">
        <f>INDEX(calcul!AK$41:AK$60,MATCH(B471,calcul!K$41:K$60,0))</f>
        <v> </v>
      </c>
      <c r="R471" s="356"/>
      <c r="S471" s="508" t="str">
        <f>INDEX(calcul!AL$41:AL$60,MATCH(B471,calcul!K$41:K$60,0))</f>
        <v> </v>
      </c>
      <c r="T471" s="508"/>
      <c r="U471" s="356"/>
      <c r="V471" s="359" t="str">
        <f>INDEX(calcul!AM$41:AM$60,MATCH(B471,calcul!K$41:K$60,0))</f>
        <v> </v>
      </c>
      <c r="W471" s="356"/>
      <c r="X471" s="357" t="str">
        <f>INDEX(calcul!AN$41:AN$60,MATCH(B471,calcul!K$41:K$60,0))</f>
        <v> </v>
      </c>
      <c r="Y471" s="368"/>
    </row>
    <row r="472" spans="2:25" ht="33.75" customHeight="1">
      <c r="B472" s="351"/>
      <c r="C472" s="352"/>
      <c r="D472" s="519" t="str">
        <f>IF(X471=" "," ",INDEX(calcul!E$41:E$60,MATCH(B471,calcul!K$41:K$60,0)))</f>
        <v> </v>
      </c>
      <c r="E472" s="520"/>
      <c r="F472" s="520"/>
      <c r="G472" s="520"/>
      <c r="H472" s="520"/>
      <c r="I472" s="520"/>
      <c r="J472" s="520"/>
      <c r="K472" s="520"/>
      <c r="L472" s="520"/>
      <c r="M472" s="520"/>
      <c r="N472" s="62"/>
      <c r="O472" s="190"/>
      <c r="P472" s="62"/>
      <c r="Q472" s="63"/>
      <c r="R472" s="191"/>
      <c r="S472" s="350"/>
      <c r="T472" s="350"/>
      <c r="U472" s="191"/>
      <c r="V472" s="193"/>
      <c r="W472" s="191"/>
      <c r="X472" s="192"/>
      <c r="Y472" s="47"/>
    </row>
    <row r="473" spans="2:25" s="4" customFormat="1" ht="34.5" customHeight="1">
      <c r="B473" s="521">
        <v>11</v>
      </c>
      <c r="C473" s="522"/>
      <c r="D473" s="523" t="str">
        <f>IF(X473=" "," ",INDEX(calcul!C$41:C80,MATCH(B473,calcul!K$41:K$60,0)))</f>
        <v> </v>
      </c>
      <c r="E473" s="524"/>
      <c r="F473" s="524"/>
      <c r="G473" s="524"/>
      <c r="H473" s="524"/>
      <c r="I473" s="524"/>
      <c r="J473" s="524"/>
      <c r="K473" s="524"/>
      <c r="L473" s="524"/>
      <c r="M473" s="524"/>
      <c r="N473" s="238"/>
      <c r="O473" s="354" t="str">
        <f>IF(X473="-","?"," ")</f>
        <v> </v>
      </c>
      <c r="P473" s="238"/>
      <c r="Q473" s="355" t="str">
        <f>INDEX(calcul!AK$41:AK$60,MATCH(B473,calcul!K$41:K$60,0))</f>
        <v> </v>
      </c>
      <c r="R473" s="356"/>
      <c r="S473" s="508" t="str">
        <f>INDEX(calcul!AL$41:AL$60,MATCH(B473,calcul!K$41:K$60,0))</f>
        <v> </v>
      </c>
      <c r="T473" s="508"/>
      <c r="U473" s="356"/>
      <c r="V473" s="359" t="str">
        <f>INDEX(calcul!AM$41:AM$60,MATCH(B473,calcul!K$41:K$60,0))</f>
        <v> </v>
      </c>
      <c r="W473" s="356"/>
      <c r="X473" s="357" t="str">
        <f>INDEX(calcul!AN$41:AN$60,MATCH(B473,calcul!K$41:K$60,0))</f>
        <v> </v>
      </c>
      <c r="Y473" s="368"/>
    </row>
    <row r="474" spans="2:25" ht="33.75" customHeight="1">
      <c r="B474" s="351"/>
      <c r="C474" s="352"/>
      <c r="D474" s="519" t="str">
        <f>IF(X473=" "," ",INDEX(calcul!E$41:E$60,MATCH(B473,calcul!K$41:K$60,0)))</f>
        <v> </v>
      </c>
      <c r="E474" s="520"/>
      <c r="F474" s="520"/>
      <c r="G474" s="520"/>
      <c r="H474" s="520"/>
      <c r="I474" s="520"/>
      <c r="J474" s="520"/>
      <c r="K474" s="520"/>
      <c r="L474" s="520"/>
      <c r="M474" s="520"/>
      <c r="N474" s="62"/>
      <c r="O474" s="190"/>
      <c r="P474" s="62"/>
      <c r="Q474" s="63"/>
      <c r="R474" s="191"/>
      <c r="S474" s="350"/>
      <c r="T474" s="350"/>
      <c r="U474" s="191"/>
      <c r="V474" s="193"/>
      <c r="W474" s="191"/>
      <c r="X474" s="192"/>
      <c r="Y474" s="47"/>
    </row>
    <row r="475" spans="2:25" s="4" customFormat="1" ht="34.5" customHeight="1">
      <c r="B475" s="521">
        <v>12</v>
      </c>
      <c r="C475" s="522"/>
      <c r="D475" s="523" t="str">
        <f>IF(X475=" "," ",INDEX(calcul!C$41:C82,MATCH(B475,calcul!K$41:K$60,0)))</f>
        <v> </v>
      </c>
      <c r="E475" s="524"/>
      <c r="F475" s="524"/>
      <c r="G475" s="524"/>
      <c r="H475" s="524"/>
      <c r="I475" s="524"/>
      <c r="J475" s="524"/>
      <c r="K475" s="524"/>
      <c r="L475" s="524"/>
      <c r="M475" s="524"/>
      <c r="N475" s="238"/>
      <c r="O475" s="354" t="str">
        <f>IF(X475="-","?"," ")</f>
        <v> </v>
      </c>
      <c r="P475" s="238"/>
      <c r="Q475" s="355" t="str">
        <f>INDEX(calcul!AK$41:AK$60,MATCH(B475,calcul!K$41:K$60,0))</f>
        <v> </v>
      </c>
      <c r="R475" s="356"/>
      <c r="S475" s="508" t="str">
        <f>INDEX(calcul!AL$41:AL$60,MATCH(B475,calcul!K$41:K$60,0))</f>
        <v> </v>
      </c>
      <c r="T475" s="508"/>
      <c r="U475" s="356"/>
      <c r="V475" s="359" t="str">
        <f>INDEX(calcul!AM$41:AM$60,MATCH(B475,calcul!K$41:K$60,0))</f>
        <v> </v>
      </c>
      <c r="W475" s="356"/>
      <c r="X475" s="357" t="str">
        <f>INDEX(calcul!AN$41:AN$60,MATCH(B475,calcul!K$41:K$60,0))</f>
        <v> </v>
      </c>
      <c r="Y475" s="368"/>
    </row>
    <row r="476" spans="2:25" ht="33.75" customHeight="1">
      <c r="B476" s="351"/>
      <c r="C476" s="352"/>
      <c r="D476" s="519" t="str">
        <f>IF(X475=" "," ",INDEX(calcul!E$41:E$60,MATCH(B475,calcul!K$41:K$60,0)))</f>
        <v> </v>
      </c>
      <c r="E476" s="520"/>
      <c r="F476" s="520"/>
      <c r="G476" s="520"/>
      <c r="H476" s="520"/>
      <c r="I476" s="520"/>
      <c r="J476" s="520"/>
      <c r="K476" s="520"/>
      <c r="L476" s="520"/>
      <c r="M476" s="520"/>
      <c r="N476" s="62"/>
      <c r="O476" s="190"/>
      <c r="P476" s="62"/>
      <c r="Q476" s="63"/>
      <c r="R476" s="191"/>
      <c r="S476" s="350"/>
      <c r="T476" s="350"/>
      <c r="U476" s="191"/>
      <c r="V476" s="193"/>
      <c r="W476" s="191"/>
      <c r="X476" s="192"/>
      <c r="Y476" s="47"/>
    </row>
    <row r="477" spans="2:25" s="4" customFormat="1" ht="34.5" customHeight="1">
      <c r="B477" s="521">
        <v>13</v>
      </c>
      <c r="C477" s="522"/>
      <c r="D477" s="576" t="str">
        <f>IF(X477=" "," ",INDEX(calcul!C$41:C84,MATCH(B477,calcul!K$41:K$60,0)))</f>
        <v> </v>
      </c>
      <c r="E477" s="577"/>
      <c r="F477" s="577"/>
      <c r="G477" s="577"/>
      <c r="H477" s="577"/>
      <c r="I477" s="577"/>
      <c r="J477" s="577"/>
      <c r="K477" s="577"/>
      <c r="L477" s="577"/>
      <c r="M477" s="577"/>
      <c r="N477" s="578"/>
      <c r="O477" s="579" t="str">
        <f>IF(X477="-","?"," ")</f>
        <v> </v>
      </c>
      <c r="P477" s="578"/>
      <c r="Q477" s="580" t="str">
        <f>INDEX(calcul!AK$41:AK$60,MATCH(B477,calcul!K$41:K$60,0))</f>
        <v> </v>
      </c>
      <c r="R477" s="581"/>
      <c r="S477" s="582" t="str">
        <f>INDEX(calcul!AL$41:AL$60,MATCH(B477,calcul!K$41:K$60,0))</f>
        <v> </v>
      </c>
      <c r="T477" s="582"/>
      <c r="U477" s="581"/>
      <c r="V477" s="359" t="str">
        <f>INDEX(calcul!AM$41:AM$60,MATCH(B477,calcul!K$41:K$60,0))</f>
        <v> </v>
      </c>
      <c r="W477" s="581"/>
      <c r="X477" s="583" t="str">
        <f>INDEX(calcul!AN$41:AN$60,MATCH(B477,calcul!K$41:K$60,0))</f>
        <v> </v>
      </c>
      <c r="Y477" s="368"/>
    </row>
    <row r="478" spans="2:25" ht="33.75" customHeight="1">
      <c r="B478" s="351"/>
      <c r="C478" s="352"/>
      <c r="D478" s="519" t="str">
        <f>IF(X477=" "," ",INDEX(calcul!E$41:E$60,MATCH(B477,calcul!K$41:K$60,0)))</f>
        <v> </v>
      </c>
      <c r="E478" s="520"/>
      <c r="F478" s="520"/>
      <c r="G478" s="520"/>
      <c r="H478" s="520"/>
      <c r="I478" s="520"/>
      <c r="J478" s="520"/>
      <c r="K478" s="520"/>
      <c r="L478" s="520"/>
      <c r="M478" s="520"/>
      <c r="N478" s="62"/>
      <c r="O478" s="190"/>
      <c r="P478" s="62"/>
      <c r="Q478" s="63"/>
      <c r="R478" s="191"/>
      <c r="S478" s="350"/>
      <c r="T478" s="350"/>
      <c r="U478" s="191"/>
      <c r="V478" s="193"/>
      <c r="W478" s="191"/>
      <c r="X478" s="192"/>
      <c r="Y478" s="47"/>
    </row>
    <row r="479" spans="2:25" s="4" customFormat="1" ht="34.5" customHeight="1">
      <c r="B479" s="521">
        <v>14</v>
      </c>
      <c r="C479" s="522"/>
      <c r="D479" s="523" t="str">
        <f>IF(X479=" "," ",INDEX(calcul!C$41:C86,MATCH(B479,calcul!K$41:K$60,0)))</f>
        <v> </v>
      </c>
      <c r="E479" s="524"/>
      <c r="F479" s="524"/>
      <c r="G479" s="524"/>
      <c r="H479" s="524"/>
      <c r="I479" s="524"/>
      <c r="J479" s="524"/>
      <c r="K479" s="524"/>
      <c r="L479" s="524"/>
      <c r="M479" s="524"/>
      <c r="N479" s="238"/>
      <c r="O479" s="354" t="str">
        <f>IF(X479="-","?"," ")</f>
        <v> </v>
      </c>
      <c r="P479" s="238"/>
      <c r="Q479" s="355" t="str">
        <f>INDEX(calcul!AK$41:AK$60,MATCH(B479,calcul!K$41:K$60,0))</f>
        <v> </v>
      </c>
      <c r="R479" s="356"/>
      <c r="S479" s="508" t="str">
        <f>INDEX(calcul!AL$41:AL$60,MATCH(B479,calcul!K$41:K$60,0))</f>
        <v> </v>
      </c>
      <c r="T479" s="508"/>
      <c r="U479" s="356"/>
      <c r="V479" s="359" t="str">
        <f>INDEX(calcul!AM$41:AM$60,MATCH(B479,calcul!K$41:K$60,0))</f>
        <v> </v>
      </c>
      <c r="W479" s="356"/>
      <c r="X479" s="357" t="str">
        <f>INDEX(calcul!AN$41:AN$60,MATCH(B479,calcul!K$41:K$60,0))</f>
        <v> </v>
      </c>
      <c r="Y479" s="368"/>
    </row>
    <row r="480" spans="2:25" ht="33.75" customHeight="1">
      <c r="B480" s="351"/>
      <c r="C480" s="352"/>
      <c r="D480" s="519" t="str">
        <f>IF(X479=" "," ",INDEX(calcul!E$41:E$60,MATCH(B479,calcul!K$41:K$60,0)))</f>
        <v> </v>
      </c>
      <c r="E480" s="520"/>
      <c r="F480" s="520"/>
      <c r="G480" s="520"/>
      <c r="H480" s="520"/>
      <c r="I480" s="520"/>
      <c r="J480" s="520"/>
      <c r="K480" s="520"/>
      <c r="L480" s="520"/>
      <c r="M480" s="520"/>
      <c r="N480" s="62"/>
      <c r="O480" s="190"/>
      <c r="P480" s="62"/>
      <c r="Q480" s="63"/>
      <c r="R480" s="191"/>
      <c r="S480" s="350"/>
      <c r="T480" s="350"/>
      <c r="U480" s="191"/>
      <c r="V480" s="193"/>
      <c r="W480" s="191"/>
      <c r="X480" s="192"/>
      <c r="Y480" s="47"/>
    </row>
    <row r="481" spans="2:25" s="4" customFormat="1" ht="34.5" customHeight="1">
      <c r="B481" s="521">
        <v>15</v>
      </c>
      <c r="C481" s="522"/>
      <c r="D481" s="576" t="str">
        <f>IF(X481=" "," ",INDEX(calcul!C$41:C88,MATCH(B481,calcul!K$41:K$60,0)))</f>
        <v> </v>
      </c>
      <c r="E481" s="577"/>
      <c r="F481" s="577"/>
      <c r="G481" s="577"/>
      <c r="H481" s="577"/>
      <c r="I481" s="577"/>
      <c r="J481" s="577"/>
      <c r="K481" s="577"/>
      <c r="L481" s="577"/>
      <c r="M481" s="577"/>
      <c r="N481" s="578"/>
      <c r="O481" s="579" t="str">
        <f>IF(X481="-","?"," ")</f>
        <v> </v>
      </c>
      <c r="P481" s="578"/>
      <c r="Q481" s="580" t="str">
        <f>INDEX(calcul!AK$41:AK$60,MATCH(B481,calcul!K$41:K$60,0))</f>
        <v> </v>
      </c>
      <c r="R481" s="581"/>
      <c r="S481" s="582" t="str">
        <f>INDEX(calcul!AL$41:AL$60,MATCH(B481,calcul!K$41:K$60,0))</f>
        <v> </v>
      </c>
      <c r="T481" s="582"/>
      <c r="U481" s="581"/>
      <c r="V481" s="359" t="str">
        <f>INDEX(calcul!AM$41:AM$60,MATCH(B481,calcul!K$41:K$60,0))</f>
        <v> </v>
      </c>
      <c r="W481" s="581"/>
      <c r="X481" s="583" t="str">
        <f>INDEX(calcul!AN$41:AN$60,MATCH(B481,calcul!K$41:K$60,0))</f>
        <v> </v>
      </c>
      <c r="Y481" s="368"/>
    </row>
    <row r="482" spans="2:25" ht="33.75" customHeight="1">
      <c r="B482" s="351"/>
      <c r="C482" s="352"/>
      <c r="D482" s="519" t="str">
        <f>IF(X481=" "," ",INDEX(calcul!E$41:E$60,MATCH(B481,calcul!K$41:K$60,0)))</f>
        <v> </v>
      </c>
      <c r="E482" s="520"/>
      <c r="F482" s="520"/>
      <c r="G482" s="520"/>
      <c r="H482" s="520"/>
      <c r="I482" s="520"/>
      <c r="J482" s="520"/>
      <c r="K482" s="520"/>
      <c r="L482" s="520"/>
      <c r="M482" s="520"/>
      <c r="N482" s="62"/>
      <c r="O482" s="190"/>
      <c r="P482" s="62"/>
      <c r="Q482" s="63"/>
      <c r="R482" s="191"/>
      <c r="S482" s="350"/>
      <c r="T482" s="350"/>
      <c r="U482" s="191"/>
      <c r="V482" s="193"/>
      <c r="W482" s="191"/>
      <c r="X482" s="192"/>
      <c r="Y482" s="47"/>
    </row>
    <row r="483" spans="2:25" s="4" customFormat="1" ht="34.5" customHeight="1">
      <c r="B483" s="521">
        <v>16</v>
      </c>
      <c r="C483" s="522"/>
      <c r="D483" s="523" t="str">
        <f>IF(X483=" "," ",INDEX(calcul!C$41:C90,MATCH(B483,calcul!K$41:K$60,0)))</f>
        <v> </v>
      </c>
      <c r="E483" s="524"/>
      <c r="F483" s="524"/>
      <c r="G483" s="524"/>
      <c r="H483" s="524"/>
      <c r="I483" s="524"/>
      <c r="J483" s="524"/>
      <c r="K483" s="524"/>
      <c r="L483" s="524"/>
      <c r="M483" s="524"/>
      <c r="N483" s="238"/>
      <c r="O483" s="354" t="str">
        <f>IF(X483="-","?"," ")</f>
        <v> </v>
      </c>
      <c r="P483" s="238"/>
      <c r="Q483" s="355" t="str">
        <f>INDEX(calcul!AK$41:AK$60,MATCH(B483,calcul!K$41:K$60,0))</f>
        <v> </v>
      </c>
      <c r="R483" s="356"/>
      <c r="S483" s="508" t="str">
        <f>INDEX(calcul!AL$41:AL$60,MATCH(B483,calcul!K$41:K$60,0))</f>
        <v> </v>
      </c>
      <c r="T483" s="508"/>
      <c r="U483" s="356"/>
      <c r="V483" s="359" t="str">
        <f>INDEX(calcul!AM$41:AM$60,MATCH(B483,calcul!K$41:K$60,0))</f>
        <v> </v>
      </c>
      <c r="W483" s="356"/>
      <c r="X483" s="357" t="str">
        <f>INDEX(calcul!AN$41:AN$60,MATCH(B483,calcul!K$41:K$60,0))</f>
        <v> </v>
      </c>
      <c r="Y483" s="368"/>
    </row>
    <row r="484" spans="2:25" ht="33.75" customHeight="1">
      <c r="B484" s="351"/>
      <c r="C484" s="352"/>
      <c r="D484" s="519" t="str">
        <f>IF(X483=" "," ",INDEX(calcul!E$41:E$60,MATCH(B483,calcul!K$41:K$60,0)))</f>
        <v> </v>
      </c>
      <c r="E484" s="520"/>
      <c r="F484" s="520"/>
      <c r="G484" s="520"/>
      <c r="H484" s="520"/>
      <c r="I484" s="520"/>
      <c r="J484" s="520"/>
      <c r="K484" s="520"/>
      <c r="L484" s="520"/>
      <c r="M484" s="520"/>
      <c r="N484" s="62"/>
      <c r="O484" s="190"/>
      <c r="P484" s="62"/>
      <c r="Q484" s="63"/>
      <c r="R484" s="191"/>
      <c r="S484" s="350"/>
      <c r="T484" s="350"/>
      <c r="U484" s="191"/>
      <c r="V484" s="193"/>
      <c r="W484" s="191"/>
      <c r="X484" s="192"/>
      <c r="Y484" s="47"/>
    </row>
    <row r="485" spans="2:25" s="4" customFormat="1" ht="34.5" customHeight="1">
      <c r="B485" s="521">
        <v>17</v>
      </c>
      <c r="C485" s="522"/>
      <c r="D485" s="523" t="str">
        <f>IF(X485=" "," ",INDEX(calcul!C$41:C92,MATCH(B485,calcul!K$41:K$60,0)))</f>
        <v> </v>
      </c>
      <c r="E485" s="524"/>
      <c r="F485" s="524"/>
      <c r="G485" s="524"/>
      <c r="H485" s="524"/>
      <c r="I485" s="524"/>
      <c r="J485" s="524"/>
      <c r="K485" s="524"/>
      <c r="L485" s="524"/>
      <c r="M485" s="524"/>
      <c r="N485" s="238"/>
      <c r="O485" s="354" t="str">
        <f>IF(X485="-","?"," ")</f>
        <v> </v>
      </c>
      <c r="P485" s="238"/>
      <c r="Q485" s="355" t="str">
        <f>INDEX(calcul!AK$41:AK$60,MATCH(B485,calcul!K$41:K$60,0))</f>
        <v> </v>
      </c>
      <c r="R485" s="356"/>
      <c r="S485" s="508" t="str">
        <f>INDEX(calcul!AL$41:AL$60,MATCH(B485,calcul!K$41:K$60,0))</f>
        <v> </v>
      </c>
      <c r="T485" s="508"/>
      <c r="U485" s="356"/>
      <c r="V485" s="359" t="str">
        <f>INDEX(calcul!AM$41:AM$60,MATCH(B485,calcul!K$41:K$60,0))</f>
        <v> </v>
      </c>
      <c r="W485" s="356"/>
      <c r="X485" s="357" t="str">
        <f>INDEX(calcul!AN$41:AN$60,MATCH(B485,calcul!K$41:K$60,0))</f>
        <v> </v>
      </c>
      <c r="Y485" s="368"/>
    </row>
    <row r="486" spans="2:25" ht="33.75" customHeight="1">
      <c r="B486" s="351"/>
      <c r="C486" s="352"/>
      <c r="D486" s="519" t="str">
        <f>IF(X485=" "," ",INDEX(calcul!E$41:E$60,MATCH(B485,calcul!K$41:K$60,0)))</f>
        <v> </v>
      </c>
      <c r="E486" s="520"/>
      <c r="F486" s="520"/>
      <c r="G486" s="520"/>
      <c r="H486" s="520"/>
      <c r="I486" s="520"/>
      <c r="J486" s="520"/>
      <c r="K486" s="520"/>
      <c r="L486" s="520"/>
      <c r="M486" s="520"/>
      <c r="N486" s="62"/>
      <c r="O486" s="190"/>
      <c r="P486" s="62"/>
      <c r="Q486" s="63"/>
      <c r="R486" s="191"/>
      <c r="S486" s="350"/>
      <c r="T486" s="350"/>
      <c r="U486" s="191"/>
      <c r="V486" s="193"/>
      <c r="W486" s="191"/>
      <c r="X486" s="192"/>
      <c r="Y486" s="47"/>
    </row>
    <row r="487" spans="2:25" s="4" customFormat="1" ht="34.5" customHeight="1">
      <c r="B487" s="521">
        <v>18</v>
      </c>
      <c r="C487" s="522"/>
      <c r="D487" s="523" t="str">
        <f>IF(X487=" "," ",INDEX(calcul!C$41:C94,MATCH(B487,calcul!K$41:K$60,0)))</f>
        <v> </v>
      </c>
      <c r="E487" s="524"/>
      <c r="F487" s="524"/>
      <c r="G487" s="524"/>
      <c r="H487" s="524"/>
      <c r="I487" s="524"/>
      <c r="J487" s="524"/>
      <c r="K487" s="524"/>
      <c r="L487" s="524"/>
      <c r="M487" s="524"/>
      <c r="N487" s="238"/>
      <c r="O487" s="354" t="str">
        <f>IF(X487="-","?"," ")</f>
        <v> </v>
      </c>
      <c r="P487" s="238"/>
      <c r="Q487" s="355" t="str">
        <f>INDEX(calcul!AK$41:AK$60,MATCH(B487,calcul!K$41:K$60,0))</f>
        <v> </v>
      </c>
      <c r="R487" s="356"/>
      <c r="S487" s="508" t="str">
        <f>INDEX(calcul!AL$41:AL$60,MATCH(B487,calcul!K$41:K$60,0))</f>
        <v> </v>
      </c>
      <c r="T487" s="508"/>
      <c r="U487" s="356"/>
      <c r="V487" s="359" t="str">
        <f>INDEX(calcul!AM$41:AM$60,MATCH(B487,calcul!K$41:K$60,0))</f>
        <v> </v>
      </c>
      <c r="W487" s="356"/>
      <c r="X487" s="357" t="str">
        <f>INDEX(calcul!AN$41:AN$60,MATCH(B487,calcul!K$41:K$60,0))</f>
        <v> </v>
      </c>
      <c r="Y487" s="368"/>
    </row>
    <row r="488" spans="2:25" ht="33.75" customHeight="1">
      <c r="B488" s="351"/>
      <c r="C488" s="352"/>
      <c r="D488" s="519" t="str">
        <f>IF(X487=" "," ",INDEX(calcul!E$41:E$60,MATCH(B487,calcul!K$41:K$60,0)))</f>
        <v> </v>
      </c>
      <c r="E488" s="520"/>
      <c r="F488" s="520"/>
      <c r="G488" s="520"/>
      <c r="H488" s="520"/>
      <c r="I488" s="520"/>
      <c r="J488" s="520"/>
      <c r="K488" s="520"/>
      <c r="L488" s="520"/>
      <c r="M488" s="520"/>
      <c r="N488" s="62"/>
      <c r="O488" s="190"/>
      <c r="P488" s="62"/>
      <c r="Q488" s="63"/>
      <c r="R488" s="191"/>
      <c r="S488" s="350"/>
      <c r="T488" s="350"/>
      <c r="U488" s="191"/>
      <c r="V488" s="193"/>
      <c r="W488" s="191"/>
      <c r="X488" s="192"/>
      <c r="Y488" s="47"/>
    </row>
    <row r="489" spans="2:25" s="4" customFormat="1" ht="34.5" customHeight="1">
      <c r="B489" s="521">
        <v>19</v>
      </c>
      <c r="C489" s="522"/>
      <c r="D489" s="523" t="str">
        <f>IF(X489=" "," ",INDEX(calcul!C$41:C96,MATCH(B489,calcul!K$41:K$60,0)))</f>
        <v> </v>
      </c>
      <c r="E489" s="524"/>
      <c r="F489" s="524"/>
      <c r="G489" s="524"/>
      <c r="H489" s="524"/>
      <c r="I489" s="524"/>
      <c r="J489" s="524"/>
      <c r="K489" s="524"/>
      <c r="L489" s="524"/>
      <c r="M489" s="524"/>
      <c r="N489" s="238"/>
      <c r="O489" s="354" t="str">
        <f>IF(X489="-","?"," ")</f>
        <v> </v>
      </c>
      <c r="P489" s="238"/>
      <c r="Q489" s="355" t="str">
        <f>INDEX(calcul!AK$41:AK$60,MATCH(B489,calcul!K$41:K$60,0))</f>
        <v> </v>
      </c>
      <c r="R489" s="356"/>
      <c r="S489" s="508" t="str">
        <f>INDEX(calcul!AL$41:AL$60,MATCH(B489,calcul!K$41:K$60,0))</f>
        <v> </v>
      </c>
      <c r="T489" s="508"/>
      <c r="U489" s="356"/>
      <c r="V489" s="359" t="str">
        <f>INDEX(calcul!AM$41:AM$60,MATCH(B489,calcul!K$41:K$60,0))</f>
        <v> </v>
      </c>
      <c r="W489" s="356"/>
      <c r="X489" s="357" t="str">
        <f>INDEX(calcul!AN$41:AN$60,MATCH(B489,calcul!K$41:K$60,0))</f>
        <v> </v>
      </c>
      <c r="Y489" s="368"/>
    </row>
    <row r="490" spans="2:25" ht="33.75" customHeight="1">
      <c r="B490" s="351"/>
      <c r="C490" s="352"/>
      <c r="D490" s="519" t="str">
        <f>IF(X489=" "," ",INDEX(calcul!E$41:E$60,MATCH(B489,calcul!K$41:K$60,0)))</f>
        <v> </v>
      </c>
      <c r="E490" s="520"/>
      <c r="F490" s="520"/>
      <c r="G490" s="520"/>
      <c r="H490" s="520"/>
      <c r="I490" s="520"/>
      <c r="J490" s="520"/>
      <c r="K490" s="520"/>
      <c r="L490" s="520"/>
      <c r="M490" s="520"/>
      <c r="N490" s="62"/>
      <c r="O490" s="190"/>
      <c r="P490" s="62"/>
      <c r="Q490" s="63"/>
      <c r="R490" s="191"/>
      <c r="S490" s="350"/>
      <c r="T490" s="350"/>
      <c r="U490" s="191"/>
      <c r="V490" s="193"/>
      <c r="W490" s="191"/>
      <c r="X490" s="192"/>
      <c r="Y490" s="47"/>
    </row>
    <row r="491" spans="2:25" s="4" customFormat="1" ht="34.5" customHeight="1">
      <c r="B491" s="521">
        <v>20</v>
      </c>
      <c r="C491" s="522"/>
      <c r="D491" s="523" t="str">
        <f>IF(X491=" "," ",INDEX(calcul!C$41:C98,MATCH(B491,calcul!K$41:K$60,0)))</f>
        <v> </v>
      </c>
      <c r="E491" s="524"/>
      <c r="F491" s="524"/>
      <c r="G491" s="524"/>
      <c r="H491" s="524"/>
      <c r="I491" s="524"/>
      <c r="J491" s="524"/>
      <c r="K491" s="524"/>
      <c r="L491" s="524"/>
      <c r="M491" s="524"/>
      <c r="N491" s="238"/>
      <c r="O491" s="354" t="str">
        <f>IF(X491="-","?"," ")</f>
        <v> </v>
      </c>
      <c r="P491" s="238"/>
      <c r="Q491" s="355" t="str">
        <f>INDEX(calcul!AK$41:AK$60,MATCH(B491,calcul!K$41:K$60,0))</f>
        <v> </v>
      </c>
      <c r="R491" s="356"/>
      <c r="S491" s="508" t="str">
        <f>INDEX(calcul!AL$41:AL$60,MATCH(B491,calcul!K$41:K$60,0))</f>
        <v> </v>
      </c>
      <c r="T491" s="508"/>
      <c r="U491" s="356"/>
      <c r="V491" s="359" t="str">
        <f>INDEX(calcul!AM$41:AM$60,MATCH(B491,calcul!K$41:K$60,0))</f>
        <v> </v>
      </c>
      <c r="W491" s="356"/>
      <c r="X491" s="357" t="str">
        <f>INDEX(calcul!AN$41:AN$60,MATCH(B491,calcul!K$41:K$60,0))</f>
        <v> </v>
      </c>
      <c r="Y491" s="368"/>
    </row>
    <row r="492" spans="2:25" ht="33.75" customHeight="1" thickBot="1">
      <c r="B492" s="351"/>
      <c r="C492" s="352"/>
      <c r="D492" s="519" t="str">
        <f>IF(X491=" "," ",INDEX(calcul!E$41:E$60,MATCH(B491,calcul!K$41:K$60,0)))</f>
        <v> </v>
      </c>
      <c r="E492" s="520"/>
      <c r="F492" s="520"/>
      <c r="G492" s="520"/>
      <c r="H492" s="520"/>
      <c r="I492" s="520"/>
      <c r="J492" s="520"/>
      <c r="K492" s="520"/>
      <c r="L492" s="520"/>
      <c r="M492" s="520"/>
      <c r="N492" s="62"/>
      <c r="O492" s="190"/>
      <c r="P492" s="62"/>
      <c r="Q492" s="63"/>
      <c r="R492" s="191"/>
      <c r="S492" s="350"/>
      <c r="T492" s="350"/>
      <c r="U492" s="191"/>
      <c r="V492" s="361"/>
      <c r="W492" s="191"/>
      <c r="X492" s="192"/>
      <c r="Y492" s="47"/>
    </row>
    <row r="493" spans="2:25" ht="11.25" customHeight="1">
      <c r="B493" s="49"/>
      <c r="C493" s="50"/>
      <c r="D493" s="50"/>
      <c r="E493" s="50"/>
      <c r="F493" s="50"/>
      <c r="G493" s="50"/>
      <c r="H493" s="50"/>
      <c r="I493" s="50"/>
      <c r="M493" s="51"/>
      <c r="N493" s="51"/>
      <c r="O493" s="51"/>
      <c r="P493" s="51"/>
      <c r="Q493" s="53"/>
      <c r="R493" s="53"/>
      <c r="S493" s="53"/>
      <c r="T493" s="53"/>
      <c r="U493" s="53"/>
      <c r="V493" s="53"/>
      <c r="W493" s="53"/>
      <c r="X493" s="52"/>
      <c r="Y493" s="4"/>
    </row>
  </sheetData>
  <mergeCells count="232">
    <mergeCell ref="C14:M15"/>
    <mergeCell ref="D65:M65"/>
    <mergeCell ref="B413:C413"/>
    <mergeCell ref="D413:M413"/>
    <mergeCell ref="C361:M362"/>
    <mergeCell ref="B395:C395"/>
    <mergeCell ref="C269:M270"/>
    <mergeCell ref="C321:M321"/>
    <mergeCell ref="C319:M320"/>
    <mergeCell ref="C342:M342"/>
    <mergeCell ref="S413:T413"/>
    <mergeCell ref="D414:M414"/>
    <mergeCell ref="B411:C411"/>
    <mergeCell ref="D411:M411"/>
    <mergeCell ref="S411:T411"/>
    <mergeCell ref="D412:M412"/>
    <mergeCell ref="D294:N294"/>
    <mergeCell ref="D417:M417"/>
    <mergeCell ref="D415:M415"/>
    <mergeCell ref="B417:C417"/>
    <mergeCell ref="D402:M402"/>
    <mergeCell ref="D406:M406"/>
    <mergeCell ref="D405:M405"/>
    <mergeCell ref="D407:M407"/>
    <mergeCell ref="B405:C405"/>
    <mergeCell ref="D396:M396"/>
    <mergeCell ref="S403:T403"/>
    <mergeCell ref="C212:M212"/>
    <mergeCell ref="S275:S278"/>
    <mergeCell ref="S235:S238"/>
    <mergeCell ref="C243:M243"/>
    <mergeCell ref="C248:M249"/>
    <mergeCell ref="C224:M224"/>
    <mergeCell ref="C263:M263"/>
    <mergeCell ref="B399:C399"/>
    <mergeCell ref="D395:M395"/>
    <mergeCell ref="S461:T461"/>
    <mergeCell ref="S457:T457"/>
    <mergeCell ref="S455:T455"/>
    <mergeCell ref="D432:M432"/>
    <mergeCell ref="D439:M439"/>
    <mergeCell ref="D456:M456"/>
    <mergeCell ref="D455:M455"/>
    <mergeCell ref="D454:M454"/>
    <mergeCell ref="D453:M453"/>
    <mergeCell ref="D440:M440"/>
    <mergeCell ref="S465:T465"/>
    <mergeCell ref="S463:T463"/>
    <mergeCell ref="D466:M466"/>
    <mergeCell ref="D471:M471"/>
    <mergeCell ref="S473:T473"/>
    <mergeCell ref="S471:T471"/>
    <mergeCell ref="S469:T469"/>
    <mergeCell ref="S467:T467"/>
    <mergeCell ref="B426:C426"/>
    <mergeCell ref="B432:C432"/>
    <mergeCell ref="B424:C424"/>
    <mergeCell ref="B428:C428"/>
    <mergeCell ref="B430:C430"/>
    <mergeCell ref="S407:T407"/>
    <mergeCell ref="S415:T415"/>
    <mergeCell ref="S409:T409"/>
    <mergeCell ref="D464:M464"/>
    <mergeCell ref="D463:M463"/>
    <mergeCell ref="S424:T424"/>
    <mergeCell ref="D424:M424"/>
    <mergeCell ref="S432:T432"/>
    <mergeCell ref="D461:M461"/>
    <mergeCell ref="S459:T459"/>
    <mergeCell ref="S428:T428"/>
    <mergeCell ref="S417:T417"/>
    <mergeCell ref="S426:T426"/>
    <mergeCell ref="S419:T419"/>
    <mergeCell ref="D36:M36"/>
    <mergeCell ref="B401:C401"/>
    <mergeCell ref="B403:C403"/>
    <mergeCell ref="B419:C419"/>
    <mergeCell ref="B415:C415"/>
    <mergeCell ref="B409:C409"/>
    <mergeCell ref="B407:C407"/>
    <mergeCell ref="D409:M409"/>
    <mergeCell ref="D408:M408"/>
    <mergeCell ref="C258:M258"/>
    <mergeCell ref="B1:Y1"/>
    <mergeCell ref="S166:S169"/>
    <mergeCell ref="C173:M174"/>
    <mergeCell ref="S8:S11"/>
    <mergeCell ref="C158:M159"/>
    <mergeCell ref="C145:M145"/>
    <mergeCell ref="D47:M47"/>
    <mergeCell ref="D64:M64"/>
    <mergeCell ref="D104:M104"/>
    <mergeCell ref="D75:M75"/>
    <mergeCell ref="B397:C397"/>
    <mergeCell ref="B387:Y387"/>
    <mergeCell ref="C366:M366"/>
    <mergeCell ref="C229:M230"/>
    <mergeCell ref="C242:M242"/>
    <mergeCell ref="C250:M250"/>
    <mergeCell ref="C357:M357"/>
    <mergeCell ref="V389:V391"/>
    <mergeCell ref="C344:M344"/>
    <mergeCell ref="C313:M314"/>
    <mergeCell ref="D292:N293"/>
    <mergeCell ref="D107:M107"/>
    <mergeCell ref="D106:M106"/>
    <mergeCell ref="D189:M190"/>
    <mergeCell ref="C202:M203"/>
    <mergeCell ref="X389:X391"/>
    <mergeCell ref="S389:T391"/>
    <mergeCell ref="Q389:Q391"/>
    <mergeCell ref="S395:T395"/>
    <mergeCell ref="S397:T397"/>
    <mergeCell ref="S401:T401"/>
    <mergeCell ref="D401:M401"/>
    <mergeCell ref="D400:M400"/>
    <mergeCell ref="D399:M399"/>
    <mergeCell ref="D398:M398"/>
    <mergeCell ref="D397:M397"/>
    <mergeCell ref="S399:T399"/>
    <mergeCell ref="S453:T453"/>
    <mergeCell ref="B436:C436"/>
    <mergeCell ref="B434:C434"/>
    <mergeCell ref="B453:C453"/>
    <mergeCell ref="B438:C438"/>
    <mergeCell ref="B440:C440"/>
    <mergeCell ref="B444:C444"/>
    <mergeCell ref="B448:C448"/>
    <mergeCell ref="B442:C442"/>
    <mergeCell ref="D448:M448"/>
    <mergeCell ref="S438:T438"/>
    <mergeCell ref="S436:T436"/>
    <mergeCell ref="S434:T434"/>
    <mergeCell ref="D435:M435"/>
    <mergeCell ref="B485:C485"/>
    <mergeCell ref="S485:T485"/>
    <mergeCell ref="D485:M485"/>
    <mergeCell ref="D484:M484"/>
    <mergeCell ref="B455:C455"/>
    <mergeCell ref="B467:C467"/>
    <mergeCell ref="D478:M478"/>
    <mergeCell ref="D477:M477"/>
    <mergeCell ref="D476:M476"/>
    <mergeCell ref="D468:M468"/>
    <mergeCell ref="D474:M474"/>
    <mergeCell ref="D475:M475"/>
    <mergeCell ref="B463:C463"/>
    <mergeCell ref="B465:C465"/>
    <mergeCell ref="B477:C477"/>
    <mergeCell ref="B475:C475"/>
    <mergeCell ref="S479:T479"/>
    <mergeCell ref="S477:T477"/>
    <mergeCell ref="S475:T475"/>
    <mergeCell ref="B457:C457"/>
    <mergeCell ref="D467:M467"/>
    <mergeCell ref="D465:M465"/>
    <mergeCell ref="B471:C471"/>
    <mergeCell ref="B469:C469"/>
    <mergeCell ref="D462:M462"/>
    <mergeCell ref="B473:C473"/>
    <mergeCell ref="B459:C459"/>
    <mergeCell ref="B461:C461"/>
    <mergeCell ref="D473:M473"/>
    <mergeCell ref="D472:M472"/>
    <mergeCell ref="D486:M486"/>
    <mergeCell ref="D482:M482"/>
    <mergeCell ref="D481:M481"/>
    <mergeCell ref="D480:M480"/>
    <mergeCell ref="B483:C483"/>
    <mergeCell ref="S483:T483"/>
    <mergeCell ref="D483:M483"/>
    <mergeCell ref="B479:C479"/>
    <mergeCell ref="D479:M479"/>
    <mergeCell ref="B481:C481"/>
    <mergeCell ref="S481:T481"/>
    <mergeCell ref="D447:M447"/>
    <mergeCell ref="D427:M427"/>
    <mergeCell ref="D428:M428"/>
    <mergeCell ref="D429:M429"/>
    <mergeCell ref="D430:M430"/>
    <mergeCell ref="D442:M442"/>
    <mergeCell ref="D431:M431"/>
    <mergeCell ref="D433:M433"/>
    <mergeCell ref="D434:M434"/>
    <mergeCell ref="D404:M404"/>
    <mergeCell ref="D418:M418"/>
    <mergeCell ref="S440:T440"/>
    <mergeCell ref="D441:M441"/>
    <mergeCell ref="D420:M420"/>
    <mergeCell ref="D410:M410"/>
    <mergeCell ref="D419:M419"/>
    <mergeCell ref="D416:M416"/>
    <mergeCell ref="S405:T405"/>
    <mergeCell ref="S430:T430"/>
    <mergeCell ref="S442:T442"/>
    <mergeCell ref="S444:T444"/>
    <mergeCell ref="D445:M445"/>
    <mergeCell ref="B446:C446"/>
    <mergeCell ref="D446:M446"/>
    <mergeCell ref="S446:T446"/>
    <mergeCell ref="D443:M443"/>
    <mergeCell ref="D444:M444"/>
    <mergeCell ref="S491:T491"/>
    <mergeCell ref="S448:T448"/>
    <mergeCell ref="D449:M449"/>
    <mergeCell ref="S489:T489"/>
    <mergeCell ref="D490:M490"/>
    <mergeCell ref="D460:M460"/>
    <mergeCell ref="D459:M459"/>
    <mergeCell ref="D458:M458"/>
    <mergeCell ref="D457:M457"/>
    <mergeCell ref="D470:M470"/>
    <mergeCell ref="B2:Y2"/>
    <mergeCell ref="D195:M196"/>
    <mergeCell ref="B491:C491"/>
    <mergeCell ref="D491:M491"/>
    <mergeCell ref="B487:C487"/>
    <mergeCell ref="D131:M132"/>
    <mergeCell ref="C352:M353"/>
    <mergeCell ref="D487:M487"/>
    <mergeCell ref="S487:T487"/>
    <mergeCell ref="D488:M488"/>
    <mergeCell ref="D492:M492"/>
    <mergeCell ref="B489:C489"/>
    <mergeCell ref="D425:M425"/>
    <mergeCell ref="D403:M403"/>
    <mergeCell ref="D489:M489"/>
    <mergeCell ref="D469:M469"/>
    <mergeCell ref="D436:M436"/>
    <mergeCell ref="D437:M437"/>
    <mergeCell ref="D438:M438"/>
    <mergeCell ref="D426:M426"/>
  </mergeCells>
  <dataValidations count="2">
    <dataValidation type="list" allowBlank="1" showInputMessage="1" showErrorMessage="1" sqref="S320 S314 S306 S284 S224 S230 S61 S39 S120 S44 S141:S142 S122:S123 S50 S23:S33"/>
    <dataValidation type="list" allowBlank="1" showInputMessage="1" showErrorMessage="1" sqref="S381 S189 S375 S369 S361:S362 S330 S319 S352:S353 S336 S313 S342 S292:S293 S299 S305 S287 S282 S269 S248 T241:T243 S258 S263 S241:S242 S229 S223 S211 S217 S202 S195:S196 S14:S16 S22 S41 S46 S52 S57:S58 S63 S74 S80 S88 S35 S103 S112 S121 S125:S126 S131:S132 S140 S144 S152 S158 S173 S179">
      <formula1>Choix_fréquence</formula1>
    </dataValidation>
  </dataValidations>
  <printOptions/>
  <pageMargins left="0.5905511811023623" right="0.3937007874015748" top="0.7874015748031497" bottom="0.984251968503937" header="0.5118110236220472" footer="0.5118110236220472"/>
  <pageSetup fitToHeight="0" horizontalDpi="355" verticalDpi="355" orientation="portrait" paperSize="9" scale="89" r:id="rId3"/>
  <headerFooter alignWithMargins="0">
    <oddFooter>&amp;L&amp;8Check-list d'audit&amp;C&amp;8CHAUFFAGE DES BATIMENTS NON CLIMATISES&amp;R&amp;8Page &amp;P / &amp;N</oddFooter>
  </headerFooter>
  <rowBreaks count="8" manualBreakCount="8">
    <brk id="61" min="1" max="26" man="1"/>
    <brk id="129" min="1" max="26" man="1"/>
    <brk id="206" min="1" max="26" man="1"/>
    <brk id="274" max="255" man="1"/>
    <brk id="386" max="255" man="1"/>
    <brk id="435" min="1" max="26" man="1"/>
    <brk id="458" min="1" max="26" man="1"/>
    <brk id="480" min="1" max="26" man="1"/>
  </rowBreaks>
  <colBreaks count="1" manualBreakCount="1">
    <brk id="27" max="65535" man="1"/>
  </colBreaks>
  <ignoredErrors>
    <ignoredError sqref="D396:D405 D416:D419 D425:D431 D432:D441 D442:D447 D448 D455 D457 D459 D461 D463 D465 D467 D469 D471 D473 D475 D477 D479 D481 D483 D485 D487 D489 D491 D407:D414 D415 D406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N270"/>
  <sheetViews>
    <sheetView showGridLines="0" showRowColHeaders="0" workbookViewId="0" topLeftCell="A1">
      <selection activeCell="A5" sqref="A5"/>
    </sheetView>
  </sheetViews>
  <sheetFormatPr defaultColWidth="11.421875" defaultRowHeight="12.75"/>
  <cols>
    <col min="1" max="1" width="5.00390625" style="4" customWidth="1"/>
    <col min="2" max="2" width="76.140625" style="303" customWidth="1"/>
    <col min="3" max="3" width="4.140625" style="202" customWidth="1"/>
    <col min="4" max="4" width="4.421875" style="202" customWidth="1"/>
    <col min="5" max="5" width="4.421875" style="172" customWidth="1"/>
    <col min="6" max="7" width="11.421875" style="4" hidden="1" customWidth="1"/>
    <col min="8" max="8" width="1.8515625" style="4" hidden="1" customWidth="1"/>
    <col min="9" max="9" width="11.421875" style="4" hidden="1" customWidth="1"/>
    <col min="10" max="10" width="0" style="4" hidden="1" customWidth="1"/>
    <col min="11" max="16384" width="11.421875" style="4" customWidth="1"/>
  </cols>
  <sheetData>
    <row r="1" spans="1:5" ht="26.25" customHeight="1">
      <c r="A1" s="448" t="s">
        <v>48</v>
      </c>
      <c r="B1" s="362"/>
      <c r="E1" s="203"/>
    </row>
    <row r="2" spans="1:5" ht="21" customHeight="1">
      <c r="A2" s="447" t="s">
        <v>156</v>
      </c>
      <c r="B2" s="362"/>
      <c r="E2" s="203"/>
    </row>
    <row r="3" spans="2:5" ht="18" customHeight="1">
      <c r="B3" s="362"/>
      <c r="C3" s="554" t="s">
        <v>0</v>
      </c>
      <c r="D3" s="556" t="s">
        <v>1</v>
      </c>
      <c r="E3" s="558" t="s">
        <v>46</v>
      </c>
    </row>
    <row r="4" spans="1:5" ht="25.5">
      <c r="A4" s="202"/>
      <c r="B4" s="363"/>
      <c r="C4" s="555"/>
      <c r="D4" s="557"/>
      <c r="E4" s="555"/>
    </row>
    <row r="5" spans="1:5" ht="20.25" customHeight="1">
      <c r="A5" s="502" t="s">
        <v>12</v>
      </c>
      <c r="B5" s="362"/>
      <c r="C5" s="555"/>
      <c r="D5" s="557"/>
      <c r="E5" s="555"/>
    </row>
    <row r="6" spans="2:5" s="205" customFormat="1" ht="3" customHeight="1">
      <c r="B6" s="364"/>
      <c r="C6" s="375"/>
      <c r="D6" s="376"/>
      <c r="E6" s="204"/>
    </row>
    <row r="7" spans="1:14" ht="12.75">
      <c r="A7" s="206">
        <v>1</v>
      </c>
      <c r="B7" s="464" t="s">
        <v>11</v>
      </c>
      <c r="C7" s="218">
        <v>3</v>
      </c>
      <c r="D7" s="219">
        <v>2</v>
      </c>
      <c r="E7" s="209">
        <f>C7*D7</f>
        <v>6</v>
      </c>
      <c r="G7" s="404">
        <v>1</v>
      </c>
      <c r="H7" s="403" t="str">
        <f aca="true" t="shared" si="0" ref="H7:H19">INDEX(B$7:B$32,MATCH(G7,A$7:A$32,0))</f>
        <v>Remplacer la chaudière et le brûleur</v>
      </c>
      <c r="M7" s="2"/>
      <c r="N7" s="2"/>
    </row>
    <row r="8" spans="1:14" s="47" customFormat="1" ht="12.75">
      <c r="A8" s="210"/>
      <c r="B8" s="381" t="s">
        <v>208</v>
      </c>
      <c r="C8" s="211"/>
      <c r="D8" s="212"/>
      <c r="E8" s="213"/>
      <c r="G8" s="405">
        <f>G7+1</f>
        <v>2</v>
      </c>
      <c r="H8" s="403" t="str">
        <f t="shared" si="0"/>
        <v>Remplacer le brûleur </v>
      </c>
      <c r="M8" s="216"/>
      <c r="N8" s="216"/>
    </row>
    <row r="9" spans="1:14" ht="12.75">
      <c r="A9" s="206">
        <f>A7+1</f>
        <v>2</v>
      </c>
      <c r="B9" s="463" t="s">
        <v>10</v>
      </c>
      <c r="C9" s="218">
        <v>2</v>
      </c>
      <c r="D9" s="219">
        <v>2</v>
      </c>
      <c r="E9" s="209">
        <f>C9*D9</f>
        <v>4</v>
      </c>
      <c r="G9" s="405">
        <f aca="true" t="shared" si="1" ref="G9:G19">G8+1</f>
        <v>3</v>
      </c>
      <c r="H9" s="403" t="str">
        <f t="shared" si="0"/>
        <v>Régler le régulateur de tirage</v>
      </c>
      <c r="M9" s="2"/>
      <c r="N9" s="2"/>
    </row>
    <row r="10" spans="1:14" s="47" customFormat="1" ht="12.75">
      <c r="A10" s="210"/>
      <c r="B10" s="381" t="s">
        <v>161</v>
      </c>
      <c r="C10" s="211"/>
      <c r="D10" s="212"/>
      <c r="E10" s="213"/>
      <c r="G10" s="405">
        <f t="shared" si="1"/>
        <v>4</v>
      </c>
      <c r="H10" s="403" t="str">
        <f t="shared" si="0"/>
        <v>Placer un régulateur de tirage </v>
      </c>
      <c r="M10" s="216"/>
      <c r="N10" s="216"/>
    </row>
    <row r="11" spans="1:14" ht="12.75">
      <c r="A11" s="206">
        <f>A9+1</f>
        <v>3</v>
      </c>
      <c r="B11" s="463" t="s">
        <v>28</v>
      </c>
      <c r="C11" s="218">
        <v>1</v>
      </c>
      <c r="D11" s="219">
        <v>3</v>
      </c>
      <c r="E11" s="209">
        <f>C11*D11</f>
        <v>3</v>
      </c>
      <c r="G11" s="405">
        <f t="shared" si="1"/>
        <v>5</v>
      </c>
      <c r="H11" s="403" t="str">
        <f t="shared" si="0"/>
        <v>Nettoyer la chaudière</v>
      </c>
      <c r="M11" s="2"/>
      <c r="N11" s="2"/>
    </row>
    <row r="12" spans="1:14" s="47" customFormat="1" ht="12.75">
      <c r="A12" s="210"/>
      <c r="B12" s="378" t="s">
        <v>157</v>
      </c>
      <c r="C12" s="211"/>
      <c r="D12" s="212"/>
      <c r="E12" s="213"/>
      <c r="G12" s="405">
        <f t="shared" si="1"/>
        <v>6</v>
      </c>
      <c r="H12" s="403" t="str">
        <f t="shared" si="0"/>
        <v>Réisoler la chaudière, et par la suite, envisager son remplacement</v>
      </c>
      <c r="M12" s="216"/>
      <c r="N12" s="216"/>
    </row>
    <row r="13" spans="1:14" ht="12.75">
      <c r="A13" s="206">
        <f>A11+1</f>
        <v>4</v>
      </c>
      <c r="B13" s="463" t="s">
        <v>102</v>
      </c>
      <c r="C13" s="218">
        <v>1</v>
      </c>
      <c r="D13" s="219">
        <v>3</v>
      </c>
      <c r="E13" s="209">
        <f>C13*D13</f>
        <v>3</v>
      </c>
      <c r="G13" s="405">
        <f t="shared" si="1"/>
        <v>7</v>
      </c>
      <c r="H13" s="403" t="str">
        <f t="shared" si="0"/>
        <v>Améliorer le réglage du brûleur : Régler le registre d'air et la tête de combustion</v>
      </c>
      <c r="M13" s="37"/>
      <c r="N13" s="37"/>
    </row>
    <row r="14" spans="1:14" s="47" customFormat="1" ht="12.75">
      <c r="A14" s="210"/>
      <c r="B14" s="378" t="s">
        <v>157</v>
      </c>
      <c r="C14" s="211"/>
      <c r="D14" s="212"/>
      <c r="E14" s="213"/>
      <c r="G14" s="405">
        <f t="shared" si="1"/>
        <v>8</v>
      </c>
      <c r="H14" s="403" t="str">
        <f t="shared" si="0"/>
        <v>Colmater les inétanchéités de la chaudière (portes, entre éléments en fonte) </v>
      </c>
      <c r="M14" s="37"/>
      <c r="N14" s="37"/>
    </row>
    <row r="15" spans="1:14" ht="12.75">
      <c r="A15" s="206">
        <f>A13+1</f>
        <v>5</v>
      </c>
      <c r="B15" s="463" t="s">
        <v>104</v>
      </c>
      <c r="C15" s="218">
        <v>1</v>
      </c>
      <c r="D15" s="219">
        <v>3</v>
      </c>
      <c r="E15" s="209">
        <f>C15*D15</f>
        <v>3</v>
      </c>
      <c r="G15" s="405">
        <f t="shared" si="1"/>
        <v>9</v>
      </c>
      <c r="H15" s="403" t="str">
        <f t="shared" si="0"/>
        <v>Diminuer la puissance du brûleur existant (Mettre un gicleur de plus petit calibre)</v>
      </c>
      <c r="M15" s="2"/>
      <c r="N15" s="2"/>
    </row>
    <row r="16" spans="1:14" s="47" customFormat="1" ht="12.75">
      <c r="A16" s="210"/>
      <c r="B16" s="378" t="s">
        <v>116</v>
      </c>
      <c r="C16" s="211"/>
      <c r="D16" s="212"/>
      <c r="E16" s="213"/>
      <c r="G16" s="405">
        <f t="shared" si="1"/>
        <v>10</v>
      </c>
      <c r="H16" s="403" t="str">
        <f t="shared" si="0"/>
        <v>Corriger le raccordement électrique du brûleur ou débloquer le clapet pour qu'il se ferme</v>
      </c>
      <c r="M16" s="216"/>
      <c r="N16" s="216"/>
    </row>
    <row r="17" spans="1:14" ht="12.75">
      <c r="A17" s="206">
        <f>A15+1</f>
        <v>6</v>
      </c>
      <c r="B17" s="463" t="s">
        <v>185</v>
      </c>
      <c r="C17" s="218">
        <v>1</v>
      </c>
      <c r="D17" s="219">
        <v>3</v>
      </c>
      <c r="E17" s="209">
        <f>C17*D17</f>
        <v>3</v>
      </c>
      <c r="G17" s="405">
        <f t="shared" si="1"/>
        <v>11</v>
      </c>
      <c r="H17" s="403" t="str">
        <f t="shared" si="0"/>
        <v>Etudier la faisabilité de la cogénération</v>
      </c>
      <c r="M17" s="2"/>
      <c r="N17" s="2"/>
    </row>
    <row r="18" spans="1:14" s="47" customFormat="1" ht="12.75">
      <c r="A18" s="210"/>
      <c r="B18" s="378" t="s">
        <v>158</v>
      </c>
      <c r="C18" s="211"/>
      <c r="D18" s="212"/>
      <c r="E18" s="213"/>
      <c r="G18" s="405">
        <f t="shared" si="1"/>
        <v>12</v>
      </c>
      <c r="H18" s="403" t="str">
        <f t="shared" si="0"/>
        <v>Equiper les chaudières pour pouvoir piloter chaudières et brûleurs en cascade</v>
      </c>
      <c r="M18" s="216"/>
      <c r="N18" s="216"/>
    </row>
    <row r="19" spans="1:8" ht="12.75">
      <c r="A19" s="206">
        <f>A17+1</f>
        <v>7</v>
      </c>
      <c r="B19" s="463" t="s">
        <v>242</v>
      </c>
      <c r="C19" s="218">
        <v>1</v>
      </c>
      <c r="D19" s="219">
        <v>3</v>
      </c>
      <c r="E19" s="209">
        <f>C19*D19</f>
        <v>3</v>
      </c>
      <c r="G19" s="405">
        <f t="shared" si="1"/>
        <v>13</v>
      </c>
      <c r="H19" s="403" t="str">
        <f t="shared" si="0"/>
        <v>Si le rendement reste inférieur à 88% après avoir effectué les améliorations possibles (colmaté et nettoyé la chaudière, régulé le tirage, diminué la puissance du brûleur),remplacer la chaudière et le brûleur</v>
      </c>
    </row>
    <row r="20" spans="1:8" s="47" customFormat="1" ht="12.75">
      <c r="A20" s="210"/>
      <c r="B20" s="378" t="s">
        <v>114</v>
      </c>
      <c r="C20" s="211"/>
      <c r="D20" s="212"/>
      <c r="E20" s="213"/>
      <c r="H20"/>
    </row>
    <row r="21" spans="1:7" ht="12.75">
      <c r="A21" s="206">
        <f>A19+1</f>
        <v>8</v>
      </c>
      <c r="B21" s="463" t="s">
        <v>103</v>
      </c>
      <c r="C21" s="218">
        <v>1</v>
      </c>
      <c r="D21" s="219">
        <v>3</v>
      </c>
      <c r="E21" s="209">
        <f>C21*D21</f>
        <v>3</v>
      </c>
      <c r="G21" s="47"/>
    </row>
    <row r="22" spans="1:7" s="47" customFormat="1" ht="12.75">
      <c r="A22" s="210"/>
      <c r="B22" s="378" t="s">
        <v>159</v>
      </c>
      <c r="C22" s="211"/>
      <c r="D22" s="212"/>
      <c r="E22" s="213"/>
      <c r="G22"/>
    </row>
    <row r="23" spans="1:14" ht="12.75">
      <c r="A23" s="206">
        <f>A21+1</f>
        <v>9</v>
      </c>
      <c r="B23" s="463" t="s">
        <v>108</v>
      </c>
      <c r="C23" s="218">
        <v>1</v>
      </c>
      <c r="D23" s="219">
        <v>3</v>
      </c>
      <c r="E23" s="209">
        <f>C23*D23</f>
        <v>3</v>
      </c>
      <c r="G23" s="47"/>
      <c r="M23" s="2"/>
      <c r="N23" s="2"/>
    </row>
    <row r="24" spans="1:14" s="47" customFormat="1" ht="12.75">
      <c r="A24" s="210"/>
      <c r="B24" s="381" t="s">
        <v>160</v>
      </c>
      <c r="C24" s="211"/>
      <c r="D24" s="212"/>
      <c r="E24" s="213"/>
      <c r="G24"/>
      <c r="M24" s="216"/>
      <c r="N24" s="216"/>
    </row>
    <row r="25" spans="1:14" ht="12.75">
      <c r="A25" s="206">
        <f>A23+1</f>
        <v>10</v>
      </c>
      <c r="B25" s="464" t="s">
        <v>187</v>
      </c>
      <c r="C25" s="218">
        <v>1</v>
      </c>
      <c r="D25" s="219">
        <v>3</v>
      </c>
      <c r="E25" s="209">
        <f>C25*D25</f>
        <v>3</v>
      </c>
      <c r="G25" s="47"/>
      <c r="M25" s="2"/>
      <c r="N25" s="2"/>
    </row>
    <row r="26" spans="1:14" s="47" customFormat="1" ht="12.75">
      <c r="A26" s="210"/>
      <c r="B26" s="381" t="s">
        <v>209</v>
      </c>
      <c r="C26" s="211"/>
      <c r="D26" s="212"/>
      <c r="E26" s="213"/>
      <c r="G26"/>
      <c r="M26" s="216"/>
      <c r="N26" s="216"/>
    </row>
    <row r="27" spans="1:14" ht="12.75">
      <c r="A27" s="206">
        <f>A25+1</f>
        <v>11</v>
      </c>
      <c r="B27" s="463" t="s">
        <v>19</v>
      </c>
      <c r="C27" s="218">
        <v>2</v>
      </c>
      <c r="D27" s="219">
        <v>1</v>
      </c>
      <c r="E27" s="209">
        <f>C27*D27</f>
        <v>2</v>
      </c>
      <c r="G27" s="47"/>
      <c r="M27" s="2"/>
      <c r="N27" s="2"/>
    </row>
    <row r="28" spans="1:14" s="47" customFormat="1" ht="33.75">
      <c r="A28" s="210"/>
      <c r="B28" s="378" t="s">
        <v>243</v>
      </c>
      <c r="C28" s="211"/>
      <c r="D28" s="212"/>
      <c r="E28" s="213"/>
      <c r="G28"/>
      <c r="M28" s="216"/>
      <c r="N28" s="216"/>
    </row>
    <row r="29" spans="1:14" ht="12.75">
      <c r="A29" s="206">
        <f>A27+1</f>
        <v>12</v>
      </c>
      <c r="B29" s="464" t="s">
        <v>91</v>
      </c>
      <c r="C29" s="218">
        <v>1</v>
      </c>
      <c r="D29" s="219">
        <v>1</v>
      </c>
      <c r="E29" s="209">
        <f>C29*D29</f>
        <v>1</v>
      </c>
      <c r="G29" s="47"/>
      <c r="M29" s="2"/>
      <c r="N29" s="2"/>
    </row>
    <row r="30" spans="1:14" s="47" customFormat="1" ht="12.75">
      <c r="A30" s="210"/>
      <c r="B30" s="381" t="s">
        <v>115</v>
      </c>
      <c r="C30" s="211"/>
      <c r="D30" s="212"/>
      <c r="E30" s="213"/>
      <c r="G30"/>
      <c r="M30" s="216"/>
      <c r="N30" s="216"/>
    </row>
    <row r="31" spans="1:14" ht="36">
      <c r="A31" s="206">
        <f>A29+1</f>
        <v>13</v>
      </c>
      <c r="B31" s="464" t="s">
        <v>186</v>
      </c>
      <c r="C31" s="218" t="s">
        <v>15</v>
      </c>
      <c r="D31" s="219" t="s">
        <v>15</v>
      </c>
      <c r="E31" s="209"/>
      <c r="G31" s="47"/>
      <c r="M31" s="2"/>
      <c r="N31" s="2"/>
    </row>
    <row r="32" spans="1:14" s="47" customFormat="1" ht="12.75">
      <c r="A32" s="210"/>
      <c r="B32" s="381" t="s">
        <v>209</v>
      </c>
      <c r="C32" s="312"/>
      <c r="D32" s="313"/>
      <c r="E32" s="213"/>
      <c r="G32"/>
      <c r="M32" s="216"/>
      <c r="N32" s="216"/>
    </row>
    <row r="33" spans="1:14" ht="12.75">
      <c r="A33" s="221"/>
      <c r="B33" s="214"/>
      <c r="C33" s="207"/>
      <c r="D33" s="208"/>
      <c r="E33" s="209"/>
      <c r="G33" s="47"/>
      <c r="M33" s="2"/>
      <c r="N33" s="2"/>
    </row>
    <row r="34" spans="1:7" s="216" customFormat="1" ht="12.75">
      <c r="A34" s="220" t="s">
        <v>138</v>
      </c>
      <c r="B34" s="365"/>
      <c r="C34" s="211"/>
      <c r="D34" s="212"/>
      <c r="E34" s="213"/>
      <c r="G34" s="47"/>
    </row>
    <row r="35" spans="1:11" s="2" customFormat="1" ht="24">
      <c r="A35" s="206">
        <v>1</v>
      </c>
      <c r="B35" s="464" t="s">
        <v>24</v>
      </c>
      <c r="C35" s="218">
        <v>3</v>
      </c>
      <c r="D35" s="219">
        <v>3</v>
      </c>
      <c r="E35" s="209">
        <f>C35*D35</f>
        <v>9</v>
      </c>
      <c r="F35"/>
      <c r="G35" s="406">
        <v>1</v>
      </c>
      <c r="H35" s="407" t="str">
        <f aca="true" t="shared" si="2" ref="H35:H47">INDEX(B$35:B$60,MATCH(G35,A$35:A$60,0))</f>
        <v>Isoler les conduites (ainsi que les vannes) dans les locaux non chauffés en permanence (gaines techniques, faux-plafonds, …)</v>
      </c>
      <c r="I35"/>
      <c r="J35"/>
      <c r="K35"/>
    </row>
    <row r="36" spans="1:11" s="216" customFormat="1" ht="12.75">
      <c r="A36" s="210"/>
      <c r="B36" s="378" t="s">
        <v>162</v>
      </c>
      <c r="C36" s="211"/>
      <c r="D36" s="212"/>
      <c r="E36" s="213"/>
      <c r="F36" s="47"/>
      <c r="G36" s="408">
        <f>G35+1</f>
        <v>2</v>
      </c>
      <c r="H36" s="407" t="str">
        <f t="shared" si="2"/>
        <v>Réduire de vitesse les circulateurs à plusieurs vitesses</v>
      </c>
      <c r="I36" s="47"/>
      <c r="J36" s="47"/>
      <c r="K36" s="47"/>
    </row>
    <row r="37" spans="1:11" s="2" customFormat="1" ht="12.75">
      <c r="A37" s="206">
        <f>A35+1</f>
        <v>2</v>
      </c>
      <c r="B37" s="464" t="s">
        <v>193</v>
      </c>
      <c r="C37" s="218">
        <v>3</v>
      </c>
      <c r="D37" s="219">
        <v>3</v>
      </c>
      <c r="E37" s="209">
        <f>C37*D37</f>
        <v>9</v>
      </c>
      <c r="F37"/>
      <c r="G37" s="408">
        <f aca="true" t="shared" si="3" ref="G37:G46">G36+1</f>
        <v>3</v>
      </c>
      <c r="H37" s="407" t="str">
        <f t="shared" si="2"/>
        <v>Remplacer les circulateurs existants par des circulateurs à vitesse variable</v>
      </c>
      <c r="I37"/>
      <c r="J37"/>
      <c r="K37"/>
    </row>
    <row r="38" spans="1:11" s="216" customFormat="1" ht="12.75">
      <c r="A38" s="210"/>
      <c r="B38" s="378" t="s">
        <v>241</v>
      </c>
      <c r="C38" s="211"/>
      <c r="D38" s="212"/>
      <c r="E38" s="213"/>
      <c r="F38" s="47"/>
      <c r="G38" s="408">
        <f t="shared" si="3"/>
        <v>4</v>
      </c>
      <c r="H38" s="407" t="str">
        <f t="shared" si="2"/>
        <v>Remplacer le système de chauffage par air chaud des grands espaces (grands halls, ateliers, atrium,...) par un système par rayonnement (par le sol, panneaux radiatifs,…)</v>
      </c>
      <c r="I38" s="47"/>
      <c r="J38" s="47"/>
      <c r="K38" s="47"/>
    </row>
    <row r="39" spans="1:14" s="2" customFormat="1" ht="12.75">
      <c r="A39" s="206">
        <f>A37+1</f>
        <v>3</v>
      </c>
      <c r="B39" s="464" t="s">
        <v>166</v>
      </c>
      <c r="C39" s="218">
        <v>3</v>
      </c>
      <c r="D39" s="219">
        <v>2</v>
      </c>
      <c r="E39" s="209">
        <f>C39*D39</f>
        <v>6</v>
      </c>
      <c r="F39" s="47"/>
      <c r="G39" s="408">
        <f t="shared" si="3"/>
        <v>5</v>
      </c>
      <c r="H39" s="407" t="str">
        <f t="shared" si="2"/>
        <v>Équilibrer le réseau hydraulique</v>
      </c>
      <c r="I39"/>
      <c r="J39"/>
      <c r="K39"/>
      <c r="M39" s="4"/>
      <c r="N39" s="4"/>
    </row>
    <row r="40" spans="1:14" s="216" customFormat="1" ht="12.75">
      <c r="A40" s="210"/>
      <c r="B40" s="378" t="s">
        <v>167</v>
      </c>
      <c r="C40" s="211"/>
      <c r="D40" s="212"/>
      <c r="E40" s="213"/>
      <c r="F40" s="2"/>
      <c r="G40" s="408">
        <f t="shared" si="3"/>
        <v>6</v>
      </c>
      <c r="H40" s="407" t="str">
        <f t="shared" si="2"/>
        <v>Equiper le départ des différents circuits de vannes d'équilibrage et les radiateurs/ventilo-convecteurs de tés de réglage, puis équilibrer l'installation.</v>
      </c>
      <c r="I40" s="47"/>
      <c r="J40" s="47"/>
      <c r="K40" s="47"/>
      <c r="M40" s="4"/>
      <c r="N40" s="4"/>
    </row>
    <row r="41" spans="1:14" s="2" customFormat="1" ht="24">
      <c r="A41" s="206">
        <f>A39+1</f>
        <v>4</v>
      </c>
      <c r="B41" s="374" t="s">
        <v>136</v>
      </c>
      <c r="C41" s="207">
        <v>3</v>
      </c>
      <c r="D41" s="208">
        <v>2</v>
      </c>
      <c r="E41" s="209">
        <f>C41*D41</f>
        <v>6</v>
      </c>
      <c r="F41"/>
      <c r="G41" s="408">
        <f t="shared" si="3"/>
        <v>7</v>
      </c>
      <c r="H41" s="407" t="str">
        <f t="shared" si="2"/>
        <v>Remplacer les allèges vitrées par des allèges opaques isolées</v>
      </c>
      <c r="I41"/>
      <c r="J41"/>
      <c r="K41"/>
      <c r="M41" s="4"/>
      <c r="N41" s="4"/>
    </row>
    <row r="42" spans="1:14" s="216" customFormat="1" ht="22.5">
      <c r="A42" s="210"/>
      <c r="B42" s="373" t="s">
        <v>137</v>
      </c>
      <c r="C42" s="312"/>
      <c r="D42" s="313"/>
      <c r="E42" s="213"/>
      <c r="F42" s="47"/>
      <c r="G42" s="408">
        <f t="shared" si="3"/>
        <v>8</v>
      </c>
      <c r="H42" s="407" t="str">
        <f t="shared" si="2"/>
        <v>Remédier à l'inconfort thermique dans les locaux où des radiateurs électriques d'appoint sont utilisés.</v>
      </c>
      <c r="I42" s="47"/>
      <c r="J42" s="47"/>
      <c r="K42" s="47"/>
      <c r="M42" s="4"/>
      <c r="N42" s="4"/>
    </row>
    <row r="43" spans="1:14" s="2" customFormat="1" ht="12.75">
      <c r="A43" s="206">
        <f>A41+1</f>
        <v>5</v>
      </c>
      <c r="B43" s="464" t="s">
        <v>13</v>
      </c>
      <c r="C43" s="218">
        <v>2</v>
      </c>
      <c r="D43" s="219">
        <v>2</v>
      </c>
      <c r="E43" s="209">
        <f>C43*D43</f>
        <v>4</v>
      </c>
      <c r="F43"/>
      <c r="G43" s="408">
        <f t="shared" si="3"/>
        <v>9</v>
      </c>
      <c r="H43" s="407" t="str">
        <f t="shared" si="2"/>
        <v>Placer un film isolant/réfléchissant derrière les radiateurs placés contre un mur extérieur</v>
      </c>
      <c r="I43"/>
      <c r="J43"/>
      <c r="K43"/>
      <c r="M43" s="4"/>
      <c r="N43" s="4"/>
    </row>
    <row r="44" spans="1:14" s="216" customFormat="1" ht="22.5">
      <c r="A44" s="217"/>
      <c r="B44" s="378" t="s">
        <v>147</v>
      </c>
      <c r="C44" s="211"/>
      <c r="D44" s="212"/>
      <c r="E44" s="213"/>
      <c r="F44" s="47"/>
      <c r="G44" s="408">
        <f t="shared" si="3"/>
        <v>10</v>
      </c>
      <c r="H44" s="407" t="str">
        <f t="shared" si="2"/>
        <v>Sensibiliser les occupants à éviter d'encombrer les radiateurs</v>
      </c>
      <c r="I44" s="47"/>
      <c r="J44" s="47"/>
      <c r="K44" s="47"/>
      <c r="M44" s="4"/>
      <c r="N44" s="4"/>
    </row>
    <row r="45" spans="1:14" s="2" customFormat="1" ht="24">
      <c r="A45" s="206">
        <f>A43+1</f>
        <v>6</v>
      </c>
      <c r="B45" s="463" t="s">
        <v>96</v>
      </c>
      <c r="C45" s="218">
        <v>2</v>
      </c>
      <c r="D45" s="219">
        <v>2</v>
      </c>
      <c r="E45" s="209">
        <f>C45*D45</f>
        <v>4</v>
      </c>
      <c r="F45"/>
      <c r="G45" s="408">
        <f t="shared" si="3"/>
        <v>11</v>
      </c>
      <c r="H45" s="407" t="str">
        <f t="shared" si="2"/>
        <v>Isoler les vannes situées sur les conduites isolées</v>
      </c>
      <c r="I45"/>
      <c r="J45"/>
      <c r="K45"/>
      <c r="M45" s="4"/>
      <c r="N45" s="4"/>
    </row>
    <row r="46" spans="1:14" s="216" customFormat="1" ht="22.5">
      <c r="A46" s="210"/>
      <c r="B46" s="378" t="s">
        <v>147</v>
      </c>
      <c r="C46" s="211"/>
      <c r="D46" s="212"/>
      <c r="E46" s="213"/>
      <c r="F46" s="47"/>
      <c r="G46" s="408">
        <f t="shared" si="3"/>
        <v>12</v>
      </c>
      <c r="H46" s="407" t="str">
        <f t="shared" si="2"/>
        <v>Adapter le découpage du réseau aux besoins des locaux</v>
      </c>
      <c r="I46" s="47"/>
      <c r="J46" s="47"/>
      <c r="K46" s="47"/>
      <c r="M46" s="4"/>
      <c r="N46" s="4"/>
    </row>
    <row r="47" spans="1:14" s="2" customFormat="1" ht="12.75">
      <c r="A47" s="206">
        <f>A45+1</f>
        <v>7</v>
      </c>
      <c r="B47" s="464" t="s">
        <v>141</v>
      </c>
      <c r="C47" s="218">
        <v>2</v>
      </c>
      <c r="D47" s="219">
        <v>2</v>
      </c>
      <c r="E47" s="209">
        <f>C47*D47</f>
        <v>4</v>
      </c>
      <c r="F47"/>
      <c r="G47" s="408">
        <f>G46+1</f>
        <v>13</v>
      </c>
      <c r="H47" s="407" t="str">
        <f t="shared" si="2"/>
        <v>Améliorer le réseau hydraulique pour valoriser la chaudière à condensation</v>
      </c>
      <c r="I47"/>
      <c r="J47"/>
      <c r="K47"/>
      <c r="M47" s="4"/>
      <c r="N47" s="4"/>
    </row>
    <row r="48" spans="1:14" s="216" customFormat="1" ht="12.75">
      <c r="A48" s="210"/>
      <c r="B48" s="451" t="s">
        <v>142</v>
      </c>
      <c r="C48" s="211"/>
      <c r="D48" s="212"/>
      <c r="E48" s="213"/>
      <c r="F48" s="47"/>
      <c r="G48" s="408"/>
      <c r="H48" s="407"/>
      <c r="I48" s="47"/>
      <c r="J48" s="47"/>
      <c r="K48" s="47"/>
      <c r="M48" s="4"/>
      <c r="N48" s="4"/>
    </row>
    <row r="49" spans="1:14" s="2" customFormat="1" ht="24">
      <c r="A49" s="206">
        <f>A47+1</f>
        <v>8</v>
      </c>
      <c r="B49" s="374" t="s">
        <v>139</v>
      </c>
      <c r="C49" s="207">
        <v>1</v>
      </c>
      <c r="D49" s="208">
        <v>3</v>
      </c>
      <c r="E49" s="209">
        <f>C49*D49</f>
        <v>3</v>
      </c>
      <c r="F49"/>
      <c r="G49" s="408"/>
      <c r="H49" s="407"/>
      <c r="I49"/>
      <c r="J49"/>
      <c r="K49"/>
      <c r="M49" s="4"/>
      <c r="N49" s="4"/>
    </row>
    <row r="50" spans="1:14" s="216" customFormat="1" ht="12.75">
      <c r="A50" s="210"/>
      <c r="B50" s="399" t="s">
        <v>209</v>
      </c>
      <c r="C50" s="312"/>
      <c r="D50" s="313"/>
      <c r="E50" s="213"/>
      <c r="F50" s="47"/>
      <c r="H50" s="47"/>
      <c r="I50" s="47"/>
      <c r="J50" s="47"/>
      <c r="K50" s="47"/>
      <c r="M50" s="4"/>
      <c r="N50" s="4"/>
    </row>
    <row r="51" spans="1:14" s="2" customFormat="1" ht="12.75">
      <c r="A51" s="206">
        <f>A49+1</f>
        <v>9</v>
      </c>
      <c r="B51" s="463" t="s">
        <v>140</v>
      </c>
      <c r="C51" s="218">
        <v>1</v>
      </c>
      <c r="D51" s="219">
        <v>3</v>
      </c>
      <c r="E51" s="209">
        <f>C51*D51</f>
        <v>3</v>
      </c>
      <c r="G51"/>
      <c r="H51"/>
      <c r="I51"/>
      <c r="J51"/>
      <c r="K51"/>
      <c r="M51" s="4"/>
      <c r="N51" s="4"/>
    </row>
    <row r="52" spans="1:14" s="216" customFormat="1" ht="12.75">
      <c r="A52" s="210"/>
      <c r="B52" s="451" t="s">
        <v>16</v>
      </c>
      <c r="C52" s="211"/>
      <c r="D52" s="212"/>
      <c r="E52" s="213"/>
      <c r="F52" s="47"/>
      <c r="G52" s="47"/>
      <c r="H52" s="47"/>
      <c r="I52" s="47"/>
      <c r="J52" s="47"/>
      <c r="K52" s="47"/>
      <c r="M52" s="4"/>
      <c r="N52" s="4"/>
    </row>
    <row r="53" spans="1:14" s="2" customFormat="1" ht="12.75">
      <c r="A53" s="206">
        <f>A51+1</f>
        <v>10</v>
      </c>
      <c r="B53" s="402" t="s">
        <v>146</v>
      </c>
      <c r="C53" s="207">
        <v>1</v>
      </c>
      <c r="D53" s="208">
        <v>3</v>
      </c>
      <c r="E53" s="209">
        <f>C53*D53</f>
        <v>3</v>
      </c>
      <c r="F53"/>
      <c r="H53"/>
      <c r="I53"/>
      <c r="J53"/>
      <c r="K53"/>
      <c r="M53" s="4"/>
      <c r="N53" s="4"/>
    </row>
    <row r="54" spans="1:14" s="216" customFormat="1" ht="12.75">
      <c r="A54" s="217"/>
      <c r="B54" s="378" t="s">
        <v>209</v>
      </c>
      <c r="C54" s="312"/>
      <c r="D54" s="313"/>
      <c r="E54" s="213"/>
      <c r="F54" s="47"/>
      <c r="H54" s="47"/>
      <c r="I54" s="47"/>
      <c r="J54" s="47"/>
      <c r="K54" s="47"/>
      <c r="M54" s="4"/>
      <c r="N54" s="4"/>
    </row>
    <row r="55" spans="1:6" ht="12.75">
      <c r="A55" s="206">
        <f>A53+1</f>
        <v>11</v>
      </c>
      <c r="B55" s="464" t="s">
        <v>25</v>
      </c>
      <c r="C55" s="218">
        <v>2</v>
      </c>
      <c r="D55" s="219">
        <v>1</v>
      </c>
      <c r="E55" s="209">
        <f>C55*D55</f>
        <v>2</v>
      </c>
      <c r="F55" s="410"/>
    </row>
    <row r="56" spans="1:6" ht="12.75">
      <c r="A56" s="210"/>
      <c r="B56" s="378" t="s">
        <v>163</v>
      </c>
      <c r="C56" s="211"/>
      <c r="D56" s="212"/>
      <c r="E56" s="213"/>
      <c r="F56" s="47"/>
    </row>
    <row r="57" spans="1:14" s="47" customFormat="1" ht="12.75">
      <c r="A57" s="206">
        <f>A55+1</f>
        <v>12</v>
      </c>
      <c r="B57" s="464" t="s">
        <v>164</v>
      </c>
      <c r="C57" s="218">
        <v>2</v>
      </c>
      <c r="D57" s="219">
        <v>1</v>
      </c>
      <c r="E57" s="209">
        <f>C57*D57</f>
        <v>2</v>
      </c>
      <c r="F57"/>
      <c r="M57" s="4"/>
      <c r="N57" s="4"/>
    </row>
    <row r="58" spans="1:14" s="2" customFormat="1" ht="12.75">
      <c r="A58" s="210"/>
      <c r="B58" s="380" t="s">
        <v>209</v>
      </c>
      <c r="C58" s="211"/>
      <c r="D58" s="212"/>
      <c r="E58" s="213"/>
      <c r="F58" s="47"/>
      <c r="G58"/>
      <c r="M58" s="4"/>
      <c r="N58" s="4"/>
    </row>
    <row r="59" spans="1:14" s="216" customFormat="1" ht="13.5" customHeight="1">
      <c r="A59" s="206">
        <f>A57+1</f>
        <v>13</v>
      </c>
      <c r="B59" s="463" t="s">
        <v>82</v>
      </c>
      <c r="C59" s="218">
        <v>2</v>
      </c>
      <c r="D59" s="219">
        <v>1</v>
      </c>
      <c r="E59" s="209">
        <f>C59*D59</f>
        <v>2</v>
      </c>
      <c r="F59"/>
      <c r="G59" s="47"/>
      <c r="M59" s="4"/>
      <c r="N59" s="4"/>
    </row>
    <row r="60" spans="1:14" s="2" customFormat="1" ht="12.75">
      <c r="A60" s="210"/>
      <c r="B60" s="378" t="s">
        <v>165</v>
      </c>
      <c r="C60" s="211"/>
      <c r="D60" s="212"/>
      <c r="E60" s="213"/>
      <c r="F60"/>
      <c r="G60" s="47"/>
      <c r="H60" s="216"/>
      <c r="I60" s="216"/>
      <c r="J60"/>
      <c r="K60"/>
      <c r="M60" s="4"/>
      <c r="N60" s="4"/>
    </row>
    <row r="61" spans="1:14" s="216" customFormat="1" ht="12.75">
      <c r="A61" s="206"/>
      <c r="B61" s="366"/>
      <c r="C61" s="207"/>
      <c r="D61" s="208"/>
      <c r="E61" s="209"/>
      <c r="G61" s="47"/>
      <c r="H61"/>
      <c r="I61"/>
      <c r="J61" s="47"/>
      <c r="K61" s="47"/>
      <c r="M61" s="4"/>
      <c r="N61" s="4"/>
    </row>
    <row r="62" spans="1:14" s="2" customFormat="1" ht="12.75">
      <c r="A62" s="11" t="s">
        <v>47</v>
      </c>
      <c r="B62" s="367"/>
      <c r="C62" s="207"/>
      <c r="D62" s="208"/>
      <c r="E62" s="209"/>
      <c r="F62"/>
      <c r="G62" s="216"/>
      <c r="H62" s="47"/>
      <c r="I62" s="47"/>
      <c r="M62" s="4"/>
      <c r="N62" s="4"/>
    </row>
    <row r="63" spans="1:14" s="216" customFormat="1" ht="12.75">
      <c r="A63" s="215"/>
      <c r="B63" s="365"/>
      <c r="C63" s="211"/>
      <c r="D63" s="212"/>
      <c r="E63" s="213"/>
      <c r="F63" s="47"/>
      <c r="G63"/>
      <c r="H63" s="2"/>
      <c r="I63" s="2"/>
      <c r="M63" s="4"/>
      <c r="N63" s="4"/>
    </row>
    <row r="64" spans="1:14" s="2" customFormat="1" ht="12.75">
      <c r="A64" s="206">
        <v>1</v>
      </c>
      <c r="B64" s="463" t="s">
        <v>168</v>
      </c>
      <c r="C64" s="218">
        <v>3</v>
      </c>
      <c r="D64" s="219">
        <v>3</v>
      </c>
      <c r="E64" s="209">
        <f>C64*D64</f>
        <v>9</v>
      </c>
      <c r="G64" s="409">
        <v>1</v>
      </c>
      <c r="H64" s="410" t="str">
        <f aca="true" t="shared" si="4" ref="H64:H71">INDEX(B64:B103,MATCH(G64,A64:A103,0))</f>
        <v>Arrêter l'installation de chauffage la nuit et le week-end</v>
      </c>
      <c r="I64" s="411"/>
      <c r="J64"/>
      <c r="K64"/>
      <c r="M64" s="4"/>
      <c r="N64" s="4"/>
    </row>
    <row r="65" spans="1:14" s="216" customFormat="1" ht="12.75">
      <c r="A65" s="210"/>
      <c r="B65" s="378" t="s">
        <v>17</v>
      </c>
      <c r="C65" s="211"/>
      <c r="D65" s="212"/>
      <c r="E65" s="213"/>
      <c r="G65" s="412">
        <f>G64+1</f>
        <v>2</v>
      </c>
      <c r="H65" s="410" t="str">
        <f t="shared" si="4"/>
        <v>Pratiquer un ralenti par coupure complète de l'installation, contrôlée par thermostat d'ambiance</v>
      </c>
      <c r="I65" s="410"/>
      <c r="J65" s="47"/>
      <c r="K65" s="47"/>
      <c r="M65" s="4"/>
      <c r="N65" s="4"/>
    </row>
    <row r="66" spans="1:14" s="2" customFormat="1" ht="24">
      <c r="A66" s="206">
        <f>A64+1</f>
        <v>2</v>
      </c>
      <c r="B66" s="463" t="s">
        <v>200</v>
      </c>
      <c r="C66" s="218">
        <v>3</v>
      </c>
      <c r="D66" s="219">
        <v>3</v>
      </c>
      <c r="E66" s="209">
        <f>C66*D66</f>
        <v>9</v>
      </c>
      <c r="F66"/>
      <c r="G66" s="412">
        <f aca="true" t="shared" si="5" ref="G66:G80">G65+1</f>
        <v>3</v>
      </c>
      <c r="H66" s="410" t="str">
        <f t="shared" si="4"/>
        <v>Sensibiliser les occupants à utiliser les vannes thermostatiques (ou commandes des unités terminales) plutôt que d'ouvrir les fenêtres en cas de surchauffe.</v>
      </c>
      <c r="I66" s="47"/>
      <c r="M66" s="4"/>
      <c r="N66" s="4"/>
    </row>
    <row r="67" spans="1:14" s="216" customFormat="1" ht="12.75">
      <c r="A67" s="217"/>
      <c r="B67" s="379" t="s">
        <v>201</v>
      </c>
      <c r="C67" s="211"/>
      <c r="D67" s="212"/>
      <c r="E67" s="213"/>
      <c r="F67" s="47"/>
      <c r="G67" s="412">
        <f t="shared" si="5"/>
        <v>4</v>
      </c>
      <c r="H67" s="410" t="str">
        <f t="shared" si="4"/>
        <v>Remplacer l'horloge afin de pouvoir programmer le fonctionnement de l'installation conformément à l'utilisation du bâtiment (en fonction du jour de la semaine, des jours de congé,…)</v>
      </c>
      <c r="I67" s="2"/>
      <c r="M67" s="4"/>
      <c r="N67" s="4"/>
    </row>
    <row r="68" spans="1:14" s="2" customFormat="1" ht="24">
      <c r="A68" s="401">
        <f>A66+1</f>
        <v>3</v>
      </c>
      <c r="B68" s="402" t="s">
        <v>145</v>
      </c>
      <c r="C68" s="207">
        <v>3</v>
      </c>
      <c r="D68" s="208">
        <v>3</v>
      </c>
      <c r="E68" s="209">
        <f>C68*D68</f>
        <v>9</v>
      </c>
      <c r="G68" s="412">
        <f t="shared" si="5"/>
        <v>5</v>
      </c>
      <c r="H68" s="410" t="str">
        <f t="shared" si="4"/>
        <v>Arrêter les circulateurs lorsqu'il n'y a pas de besoin de chauffage </v>
      </c>
      <c r="I68" s="216"/>
      <c r="M68" s="4"/>
      <c r="N68" s="4"/>
    </row>
    <row r="69" spans="1:14" s="216" customFormat="1" ht="12.75">
      <c r="A69" s="217"/>
      <c r="B69" s="400" t="s">
        <v>148</v>
      </c>
      <c r="C69" s="312"/>
      <c r="D69" s="313"/>
      <c r="E69" s="213"/>
      <c r="G69" s="412">
        <f t="shared" si="5"/>
        <v>6</v>
      </c>
      <c r="H69" s="410" t="str">
        <f t="shared" si="4"/>
        <v>Vérifier les paramètres de régulation pour permettre la condensation (l'eau arrive froide à la chaudière) </v>
      </c>
      <c r="I69" s="2"/>
      <c r="M69" s="4"/>
      <c r="N69" s="4"/>
    </row>
    <row r="70" spans="1:14" s="37" customFormat="1" ht="36">
      <c r="A70" s="206">
        <f>A68+1</f>
        <v>4</v>
      </c>
      <c r="B70" s="463" t="s">
        <v>169</v>
      </c>
      <c r="C70" s="218">
        <v>3</v>
      </c>
      <c r="D70" s="219">
        <v>3</v>
      </c>
      <c r="E70" s="209">
        <f>C70*D70</f>
        <v>9</v>
      </c>
      <c r="F70" s="2"/>
      <c r="G70" s="412">
        <f t="shared" si="5"/>
        <v>7</v>
      </c>
      <c r="H70" s="410" t="str">
        <f t="shared" si="4"/>
        <v>Placer un thermostat d'ambiance de compensation</v>
      </c>
      <c r="I70" s="216"/>
      <c r="M70" s="4"/>
      <c r="N70" s="4"/>
    </row>
    <row r="71" spans="1:14" s="37" customFormat="1" ht="12.75">
      <c r="A71" s="210"/>
      <c r="B71" s="379" t="s">
        <v>170</v>
      </c>
      <c r="C71" s="211"/>
      <c r="D71" s="212"/>
      <c r="E71" s="213"/>
      <c r="F71" s="216"/>
      <c r="G71" s="412">
        <f t="shared" si="5"/>
        <v>8</v>
      </c>
      <c r="H71" s="410" t="str">
        <f t="shared" si="4"/>
        <v>Adapter les horaires de la régulation aux horaires d'occupation réels du bâtiment</v>
      </c>
      <c r="M71" s="4"/>
      <c r="N71" s="4"/>
    </row>
    <row r="72" spans="1:14" s="2" customFormat="1" ht="12.75">
      <c r="A72" s="206">
        <f>A70+1</f>
        <v>5</v>
      </c>
      <c r="B72" s="463" t="s">
        <v>85</v>
      </c>
      <c r="C72" s="218">
        <v>3</v>
      </c>
      <c r="D72" s="219">
        <v>3</v>
      </c>
      <c r="E72" s="209">
        <f>C72*D72</f>
        <v>9</v>
      </c>
      <c r="F72" s="37"/>
      <c r="G72" s="412">
        <f t="shared" si="5"/>
        <v>9</v>
      </c>
      <c r="H72" s="410" t="str">
        <f>INDEX(B74:B111,MATCH(G72,A74:A111,0))</f>
        <v>Déplacer les sondes d'ambiance mal situées (à proximité d'une source chaude ou froide, trop près des fenêtres ou de la bouche de ventilation, ... )</v>
      </c>
      <c r="I72" s="37"/>
      <c r="J72"/>
      <c r="K72"/>
      <c r="M72" s="4"/>
      <c r="N72" s="4"/>
    </row>
    <row r="73" spans="1:14" s="216" customFormat="1" ht="12.75">
      <c r="A73" s="217"/>
      <c r="B73" s="378" t="s">
        <v>173</v>
      </c>
      <c r="C73" s="211"/>
      <c r="D73" s="212"/>
      <c r="E73" s="213"/>
      <c r="F73" s="37"/>
      <c r="G73" s="412">
        <f t="shared" si="5"/>
        <v>10</v>
      </c>
      <c r="H73" s="410" t="str">
        <f>INDEX(B74:B112,MATCH(G73,A74:A112,0))</f>
        <v>Equiper les différents circuits d'une régulation indépendante.</v>
      </c>
      <c r="I73"/>
      <c r="J73" s="47"/>
      <c r="K73" s="47"/>
      <c r="M73" s="4"/>
      <c r="N73" s="4"/>
    </row>
    <row r="74" spans="1:14" s="2" customFormat="1" ht="24">
      <c r="A74" s="206">
        <f>A72+1</f>
        <v>6</v>
      </c>
      <c r="B74" s="463" t="s">
        <v>190</v>
      </c>
      <c r="C74" s="218">
        <v>2</v>
      </c>
      <c r="D74" s="219">
        <v>3</v>
      </c>
      <c r="E74" s="209">
        <f>C74*D74</f>
        <v>6</v>
      </c>
      <c r="F74"/>
      <c r="G74" s="412">
        <f t="shared" si="5"/>
        <v>11</v>
      </c>
      <c r="H74" s="410" t="str">
        <f aca="true" t="shared" si="6" ref="H74:H79">INDEX(B74:B113,MATCH(G74,A74:A113,0))</f>
        <v>Corriger le réglage des courbes de chauffe </v>
      </c>
      <c r="I74" s="47"/>
      <c r="M74" s="4"/>
      <c r="N74" s="4"/>
    </row>
    <row r="75" spans="1:14" s="216" customFormat="1" ht="12.75">
      <c r="A75" s="210"/>
      <c r="B75" s="378" t="s">
        <v>171</v>
      </c>
      <c r="C75" s="211"/>
      <c r="D75" s="212"/>
      <c r="E75" s="213"/>
      <c r="F75" s="47"/>
      <c r="G75" s="412">
        <f t="shared" si="5"/>
        <v>12</v>
      </c>
      <c r="H75" s="410" t="str">
        <f t="shared" si="6"/>
        <v>Placer des vannes thermostatiques dans les locaux où il y a surchauffe</v>
      </c>
      <c r="I75" s="2"/>
      <c r="M75" s="4"/>
      <c r="N75" s="4"/>
    </row>
    <row r="76" spans="1:8" ht="12.75">
      <c r="A76" s="206">
        <f>A74+1</f>
        <v>7</v>
      </c>
      <c r="B76" s="463" t="s">
        <v>204</v>
      </c>
      <c r="C76" s="218">
        <v>2</v>
      </c>
      <c r="D76" s="219">
        <v>3</v>
      </c>
      <c r="E76" s="209">
        <f>C76*D76</f>
        <v>6</v>
      </c>
      <c r="F76" s="2"/>
      <c r="G76" s="412">
        <f t="shared" si="5"/>
        <v>13</v>
      </c>
      <c r="H76" s="410" t="str">
        <f t="shared" si="6"/>
        <v>Adapter les consignes des différentes zones thermiques homogènes à leur type d'occupation (passage, activité légère, activité importante,…)</v>
      </c>
    </row>
    <row r="77" spans="1:14" s="47" customFormat="1" ht="12.75">
      <c r="A77" s="217"/>
      <c r="B77" s="400" t="s">
        <v>148</v>
      </c>
      <c r="C77" s="211"/>
      <c r="D77" s="212"/>
      <c r="E77" s="213"/>
      <c r="F77" s="216"/>
      <c r="G77" s="412">
        <f t="shared" si="5"/>
        <v>14</v>
      </c>
      <c r="H77" s="410" t="str">
        <f t="shared" si="6"/>
        <v>Contrôler les brûleurs plusieurs fois par an</v>
      </c>
      <c r="M77" s="4"/>
      <c r="N77" s="4"/>
    </row>
    <row r="78" spans="1:8" ht="12.75">
      <c r="A78" s="206">
        <f>A76+1</f>
        <v>8</v>
      </c>
      <c r="B78" s="463" t="s">
        <v>86</v>
      </c>
      <c r="C78" s="218">
        <v>2</v>
      </c>
      <c r="D78" s="219">
        <v>3</v>
      </c>
      <c r="E78" s="209">
        <f>C78*D78</f>
        <v>6</v>
      </c>
      <c r="G78" s="412">
        <f t="shared" si="5"/>
        <v>15</v>
      </c>
      <c r="H78" s="410" t="str">
        <f t="shared" si="6"/>
        <v>Réguler l'aquastat pour qu'en été, en dehors des périodes de préparation de l'eau chaude sanitaire, la température de la chaudière retombe à 20°C</v>
      </c>
    </row>
    <row r="79" spans="1:14" s="47" customFormat="1" ht="12.75">
      <c r="A79" s="217"/>
      <c r="B79" s="378" t="s">
        <v>172</v>
      </c>
      <c r="C79" s="211"/>
      <c r="D79" s="212"/>
      <c r="E79" s="213"/>
      <c r="G79" s="412">
        <f t="shared" si="5"/>
        <v>16</v>
      </c>
      <c r="H79" s="410" t="str">
        <f t="shared" si="6"/>
        <v>Arrêter la chaudière en été</v>
      </c>
      <c r="M79" s="4"/>
      <c r="N79" s="4"/>
    </row>
    <row r="80" spans="1:14" s="2" customFormat="1" ht="24">
      <c r="A80" s="206">
        <f>A78+1</f>
        <v>9</v>
      </c>
      <c r="B80" s="374" t="s">
        <v>143</v>
      </c>
      <c r="C80" s="207">
        <v>2</v>
      </c>
      <c r="D80" s="208">
        <v>3</v>
      </c>
      <c r="E80" s="209">
        <f>C80*D80</f>
        <v>6</v>
      </c>
      <c r="F80"/>
      <c r="G80" s="412">
        <f t="shared" si="5"/>
        <v>17</v>
      </c>
      <c r="H80" s="410" t="str">
        <f>INDEX(B43:B119,MATCH(G80,A43:A119,0))</f>
        <v>Améliorer la régulation en cascade</v>
      </c>
      <c r="M80" s="4"/>
      <c r="N80" s="4"/>
    </row>
    <row r="81" spans="1:14" s="216" customFormat="1" ht="12.75">
      <c r="A81" s="210"/>
      <c r="B81" s="400" t="s">
        <v>148</v>
      </c>
      <c r="C81" s="312"/>
      <c r="D81" s="313"/>
      <c r="E81" s="213"/>
      <c r="F81" s="47"/>
      <c r="G81" s="412">
        <f>G80+1</f>
        <v>18</v>
      </c>
      <c r="H81" s="410" t="str">
        <f>INDEX(B44:B120,MATCH(G81,A44:A120,0))</f>
        <v>Mettre une chaudière à l'arrêt</v>
      </c>
      <c r="I81" s="2"/>
      <c r="M81" s="4"/>
      <c r="N81" s="4"/>
    </row>
    <row r="82" spans="1:14" s="2" customFormat="1" ht="12.75">
      <c r="A82" s="206">
        <f>A80+1</f>
        <v>10</v>
      </c>
      <c r="B82" s="463" t="s">
        <v>64</v>
      </c>
      <c r="C82" s="218">
        <v>2</v>
      </c>
      <c r="D82" s="219">
        <v>3</v>
      </c>
      <c r="E82" s="209">
        <f>C82*D82</f>
        <v>6</v>
      </c>
      <c r="G82" s="412">
        <f>G81+1</f>
        <v>19</v>
      </c>
      <c r="H82" s="410" t="str">
        <f>INDEX(B86:B121,MATCH(G82,A86:A121,0))</f>
        <v>Remplacer le vase d'expansion</v>
      </c>
      <c r="J82"/>
      <c r="K82"/>
      <c r="M82" s="4"/>
      <c r="N82" s="4"/>
    </row>
    <row r="83" spans="1:14" s="216" customFormat="1" ht="12.75">
      <c r="A83" s="210"/>
      <c r="B83" s="400" t="s">
        <v>148</v>
      </c>
      <c r="C83" s="211"/>
      <c r="D83" s="212"/>
      <c r="E83" s="213"/>
      <c r="G83" s="412">
        <f>G82+1</f>
        <v>20</v>
      </c>
      <c r="H83" s="410" t="str">
        <f>INDEX(B87:B122,MATCH(G83,A87:A122,0))</f>
        <v>Chercher la cause de l'insuffisance d'eau, l'origine de la fuite</v>
      </c>
      <c r="I83" s="2"/>
      <c r="J83" s="47"/>
      <c r="K83" s="47"/>
      <c r="M83" s="4"/>
      <c r="N83" s="4"/>
    </row>
    <row r="84" spans="1:14" s="2" customFormat="1" ht="12.75">
      <c r="A84" s="206">
        <f>A82+1</f>
        <v>11</v>
      </c>
      <c r="B84" s="463" t="s">
        <v>203</v>
      </c>
      <c r="C84" s="218">
        <v>2</v>
      </c>
      <c r="D84" s="219">
        <v>3</v>
      </c>
      <c r="E84" s="209">
        <f>C84*D84</f>
        <v>6</v>
      </c>
      <c r="F84"/>
      <c r="G84" s="412"/>
      <c r="H84" s="410"/>
      <c r="J84"/>
      <c r="K84"/>
      <c r="M84" s="4"/>
      <c r="N84" s="4"/>
    </row>
    <row r="85" spans="1:14" s="216" customFormat="1" ht="12.75">
      <c r="A85" s="217"/>
      <c r="B85" s="400" t="s">
        <v>148</v>
      </c>
      <c r="C85" s="211"/>
      <c r="D85" s="212"/>
      <c r="E85" s="213"/>
      <c r="F85" s="47"/>
      <c r="G85" s="412"/>
      <c r="H85" s="410"/>
      <c r="I85" s="2"/>
      <c r="J85" s="47"/>
      <c r="K85" s="47"/>
      <c r="M85" s="4"/>
      <c r="N85" s="4"/>
    </row>
    <row r="86" spans="1:14" s="2" customFormat="1" ht="13.5" customHeight="1">
      <c r="A86" s="206">
        <f>A84+1</f>
        <v>12</v>
      </c>
      <c r="B86" s="463" t="s">
        <v>97</v>
      </c>
      <c r="C86" s="218">
        <v>2</v>
      </c>
      <c r="D86" s="219">
        <v>2</v>
      </c>
      <c r="E86" s="209">
        <f>C86*D86</f>
        <v>4</v>
      </c>
      <c r="F86"/>
      <c r="G86" s="412"/>
      <c r="H86" s="410"/>
      <c r="J86"/>
      <c r="K86"/>
      <c r="M86" s="4"/>
      <c r="N86" s="4"/>
    </row>
    <row r="87" spans="1:11" s="216" customFormat="1" ht="12.75">
      <c r="A87" s="210"/>
      <c r="B87" s="400" t="s">
        <v>148</v>
      </c>
      <c r="C87" s="211"/>
      <c r="D87" s="212"/>
      <c r="E87" s="213"/>
      <c r="F87" s="47"/>
      <c r="G87" s="412"/>
      <c r="H87" s="410"/>
      <c r="I87" s="2"/>
      <c r="J87" s="47"/>
      <c r="K87" s="47"/>
    </row>
    <row r="88" spans="1:11" s="2" customFormat="1" ht="24">
      <c r="A88" s="206">
        <f>A86+1</f>
        <v>13</v>
      </c>
      <c r="B88" s="402" t="s">
        <v>144</v>
      </c>
      <c r="C88" s="207">
        <v>2</v>
      </c>
      <c r="D88" s="208">
        <v>3</v>
      </c>
      <c r="E88" s="209">
        <f>C88*D88</f>
        <v>6</v>
      </c>
      <c r="F88"/>
      <c r="G88"/>
      <c r="H88"/>
      <c r="I88"/>
      <c r="J88"/>
      <c r="K88"/>
    </row>
    <row r="89" spans="1:11" s="216" customFormat="1" ht="12.75">
      <c r="A89" s="217"/>
      <c r="B89" s="400" t="s">
        <v>148</v>
      </c>
      <c r="C89" s="312"/>
      <c r="D89" s="313"/>
      <c r="E89" s="213"/>
      <c r="F89" s="47"/>
      <c r="G89" s="47"/>
      <c r="H89" s="47"/>
      <c r="I89" s="47"/>
      <c r="J89" s="47"/>
      <c r="K89" s="47"/>
    </row>
    <row r="90" spans="1:11" s="2" customFormat="1" ht="13.5" customHeight="1">
      <c r="A90" s="206">
        <f>A88+1</f>
        <v>14</v>
      </c>
      <c r="B90" s="463" t="s">
        <v>72</v>
      </c>
      <c r="C90" s="218">
        <v>1</v>
      </c>
      <c r="D90" s="219">
        <v>3</v>
      </c>
      <c r="E90" s="209">
        <f>C90*D90</f>
        <v>3</v>
      </c>
      <c r="F90"/>
      <c r="G90"/>
      <c r="H90"/>
      <c r="I90"/>
      <c r="J90"/>
      <c r="K90"/>
    </row>
    <row r="91" spans="1:11" s="216" customFormat="1" ht="12.75">
      <c r="A91" s="217"/>
      <c r="B91" s="378" t="s">
        <v>101</v>
      </c>
      <c r="C91" s="211"/>
      <c r="D91" s="212"/>
      <c r="E91" s="213"/>
      <c r="F91" s="47"/>
      <c r="G91" s="47"/>
      <c r="H91" s="47"/>
      <c r="I91" s="47"/>
      <c r="J91" s="47"/>
      <c r="K91" s="47"/>
    </row>
    <row r="92" spans="1:11" s="2" customFormat="1" ht="24">
      <c r="A92" s="206">
        <f>A90+1</f>
        <v>15</v>
      </c>
      <c r="B92" s="463" t="s">
        <v>14</v>
      </c>
      <c r="C92" s="218">
        <v>1</v>
      </c>
      <c r="D92" s="219">
        <v>3</v>
      </c>
      <c r="E92" s="209">
        <f>C92*D92</f>
        <v>3</v>
      </c>
      <c r="F92"/>
      <c r="G92"/>
      <c r="H92"/>
      <c r="I92"/>
      <c r="J92"/>
      <c r="K92"/>
    </row>
    <row r="93" spans="1:11" s="216" customFormat="1" ht="12.75">
      <c r="A93" s="217"/>
      <c r="B93" s="378" t="s">
        <v>16</v>
      </c>
      <c r="C93" s="283"/>
      <c r="D93" s="212"/>
      <c r="E93" s="213"/>
      <c r="F93" s="47"/>
      <c r="G93" s="409" t="s">
        <v>231</v>
      </c>
      <c r="H93" s="47"/>
      <c r="I93" s="47"/>
      <c r="J93" s="47"/>
      <c r="K93" s="47"/>
    </row>
    <row r="94" spans="1:7" ht="12.75">
      <c r="A94" s="206">
        <f>A92+1</f>
        <v>16</v>
      </c>
      <c r="B94" s="463" t="s">
        <v>87</v>
      </c>
      <c r="C94" s="218">
        <v>1</v>
      </c>
      <c r="D94" s="219">
        <v>3</v>
      </c>
      <c r="E94" s="209">
        <f>C94*D94</f>
        <v>3</v>
      </c>
      <c r="G94" s="409"/>
    </row>
    <row r="95" spans="1:7" ht="12.75">
      <c r="A95" s="210"/>
      <c r="B95" s="378" t="s">
        <v>16</v>
      </c>
      <c r="C95" s="211"/>
      <c r="D95" s="212"/>
      <c r="E95" s="213"/>
      <c r="G95" s="409" t="s">
        <v>231</v>
      </c>
    </row>
    <row r="96" spans="1:7" ht="12.75">
      <c r="A96" s="206">
        <f>A94+1</f>
        <v>17</v>
      </c>
      <c r="B96" s="463" t="s">
        <v>68</v>
      </c>
      <c r="C96" s="218">
        <v>1</v>
      </c>
      <c r="D96" s="219">
        <v>3</v>
      </c>
      <c r="E96" s="209">
        <f>C96*D96</f>
        <v>3</v>
      </c>
      <c r="G96" s="409"/>
    </row>
    <row r="97" spans="1:5" ht="12.75">
      <c r="A97" s="217"/>
      <c r="B97" s="378" t="s">
        <v>16</v>
      </c>
      <c r="C97" s="211"/>
      <c r="D97" s="212"/>
      <c r="E97" s="213"/>
    </row>
    <row r="98" spans="1:5" ht="12.75">
      <c r="A98" s="206">
        <f>A96+1</f>
        <v>18</v>
      </c>
      <c r="B98" s="463" t="s">
        <v>188</v>
      </c>
      <c r="C98" s="218">
        <v>1</v>
      </c>
      <c r="D98" s="219">
        <v>3</v>
      </c>
      <c r="E98" s="209">
        <f>C98*D98</f>
        <v>3</v>
      </c>
    </row>
    <row r="99" spans="1:5" ht="12.75">
      <c r="A99" s="217"/>
      <c r="B99" s="378" t="s">
        <v>16</v>
      </c>
      <c r="C99" s="211"/>
      <c r="D99" s="212"/>
      <c r="E99" s="213"/>
    </row>
    <row r="100" spans="1:5" ht="12.75">
      <c r="A100" s="206">
        <f>A98+1</f>
        <v>19</v>
      </c>
      <c r="B100" s="465" t="s">
        <v>98</v>
      </c>
      <c r="C100" s="377" t="s">
        <v>15</v>
      </c>
      <c r="D100" s="219">
        <v>3</v>
      </c>
      <c r="E100" s="209"/>
    </row>
    <row r="101" spans="1:5" ht="12.75">
      <c r="A101" s="217"/>
      <c r="B101" s="378" t="s">
        <v>244</v>
      </c>
      <c r="C101" s="211"/>
      <c r="D101" s="212"/>
      <c r="E101" s="213"/>
    </row>
    <row r="102" spans="1:5" ht="12.75">
      <c r="A102" s="206">
        <f>A100+1</f>
        <v>20</v>
      </c>
      <c r="B102" s="465" t="s">
        <v>38</v>
      </c>
      <c r="C102" s="377" t="s">
        <v>15</v>
      </c>
      <c r="D102" s="219">
        <v>3</v>
      </c>
      <c r="E102" s="209"/>
    </row>
    <row r="103" spans="1:5" ht="22.5">
      <c r="A103" s="217"/>
      <c r="B103" s="378" t="s">
        <v>245</v>
      </c>
      <c r="C103" s="211"/>
      <c r="D103" s="212"/>
      <c r="E103" s="213"/>
    </row>
    <row r="104" ht="12.75">
      <c r="B104" s="316"/>
    </row>
    <row r="105" ht="12.75">
      <c r="B105" s="316"/>
    </row>
    <row r="106" ht="12.75">
      <c r="B106" s="316"/>
    </row>
    <row r="107" ht="12.75">
      <c r="B107" s="316"/>
    </row>
    <row r="108" ht="12.75">
      <c r="B108" s="316"/>
    </row>
    <row r="109" ht="12.75">
      <c r="B109" s="316"/>
    </row>
    <row r="110" ht="12.75">
      <c r="B110" s="316"/>
    </row>
    <row r="111" ht="12.75">
      <c r="B111" s="316"/>
    </row>
    <row r="112" ht="12.75">
      <c r="B112" s="316"/>
    </row>
    <row r="113" ht="12.75">
      <c r="B113" s="316"/>
    </row>
    <row r="114" ht="12.75">
      <c r="B114" s="316"/>
    </row>
    <row r="115" ht="12.75">
      <c r="B115" s="316"/>
    </row>
    <row r="116" ht="12.75">
      <c r="B116" s="316"/>
    </row>
    <row r="117" ht="12.75">
      <c r="B117" s="316"/>
    </row>
    <row r="118" ht="12.75">
      <c r="B118" s="316"/>
    </row>
    <row r="119" ht="12.75">
      <c r="B119" s="316"/>
    </row>
    <row r="120" ht="12.75">
      <c r="B120" s="316"/>
    </row>
    <row r="121" ht="12.75">
      <c r="B121" s="316"/>
    </row>
    <row r="122" ht="12.75">
      <c r="B122" s="316"/>
    </row>
    <row r="123" ht="12.75">
      <c r="B123" s="316"/>
    </row>
    <row r="124" ht="12.75">
      <c r="B124" s="316"/>
    </row>
    <row r="125" ht="12.75">
      <c r="B125" s="316"/>
    </row>
    <row r="126" ht="12.75">
      <c r="B126" s="316"/>
    </row>
    <row r="127" ht="12.75">
      <c r="B127" s="316"/>
    </row>
    <row r="128" ht="12.75">
      <c r="B128" s="316"/>
    </row>
    <row r="129" ht="12.75">
      <c r="B129" s="316"/>
    </row>
    <row r="130" ht="12.75">
      <c r="B130" s="316"/>
    </row>
    <row r="131" ht="12.75">
      <c r="B131" s="316"/>
    </row>
    <row r="132" ht="12.75">
      <c r="B132" s="316"/>
    </row>
    <row r="133" ht="12.75">
      <c r="B133" s="316"/>
    </row>
    <row r="134" ht="12.75">
      <c r="B134" s="316"/>
    </row>
    <row r="135" ht="12.75">
      <c r="B135" s="316"/>
    </row>
    <row r="136" ht="12.75">
      <c r="B136" s="316"/>
    </row>
    <row r="137" ht="12.75">
      <c r="B137" s="316"/>
    </row>
    <row r="138" ht="12.75">
      <c r="B138" s="316"/>
    </row>
    <row r="139" ht="12.75">
      <c r="B139" s="316"/>
    </row>
    <row r="140" ht="12.75">
      <c r="B140" s="316"/>
    </row>
    <row r="141" ht="12.75">
      <c r="B141" s="316"/>
    </row>
    <row r="142" ht="12.75">
      <c r="B142" s="316"/>
    </row>
    <row r="143" ht="12.75">
      <c r="B143" s="316"/>
    </row>
    <row r="144" ht="12.75">
      <c r="B144" s="316"/>
    </row>
    <row r="145" ht="12.75">
      <c r="B145" s="316"/>
    </row>
    <row r="146" ht="12.75">
      <c r="B146" s="316"/>
    </row>
    <row r="147" ht="12.75">
      <c r="B147" s="316"/>
    </row>
    <row r="148" ht="12.75">
      <c r="B148" s="316"/>
    </row>
    <row r="149" ht="12.75">
      <c r="B149" s="316"/>
    </row>
    <row r="150" ht="12.75">
      <c r="B150" s="316"/>
    </row>
    <row r="151" ht="12.75">
      <c r="B151" s="316"/>
    </row>
    <row r="152" ht="12.75">
      <c r="B152" s="316"/>
    </row>
    <row r="153" ht="12.75">
      <c r="B153" s="316"/>
    </row>
    <row r="154" ht="12.75">
      <c r="B154" s="316"/>
    </row>
    <row r="155" ht="12.75">
      <c r="B155" s="316"/>
    </row>
    <row r="156" ht="12.75">
      <c r="B156" s="316"/>
    </row>
    <row r="157" ht="12.75">
      <c r="B157" s="316"/>
    </row>
    <row r="158" ht="12.75">
      <c r="B158" s="316"/>
    </row>
    <row r="159" ht="12.75">
      <c r="B159" s="316"/>
    </row>
    <row r="160" ht="12.75">
      <c r="B160" s="316"/>
    </row>
    <row r="161" ht="12.75">
      <c r="B161" s="316"/>
    </row>
    <row r="162" ht="12.75">
      <c r="B162" s="316"/>
    </row>
    <row r="163" ht="12.75">
      <c r="B163" s="316"/>
    </row>
    <row r="164" ht="12.75">
      <c r="B164" s="316"/>
    </row>
    <row r="165" ht="12.75">
      <c r="B165" s="316"/>
    </row>
    <row r="166" ht="12.75">
      <c r="B166" s="316"/>
    </row>
    <row r="167" ht="12.75">
      <c r="B167" s="316"/>
    </row>
    <row r="168" ht="12.75">
      <c r="B168" s="316"/>
    </row>
    <row r="169" ht="12.75">
      <c r="B169" s="316"/>
    </row>
    <row r="170" ht="12.75">
      <c r="B170" s="316"/>
    </row>
    <row r="171" ht="12.75">
      <c r="B171" s="316"/>
    </row>
    <row r="172" ht="12.75">
      <c r="B172" s="316"/>
    </row>
    <row r="173" ht="12.75">
      <c r="B173" s="316"/>
    </row>
    <row r="174" ht="12.75">
      <c r="B174" s="316"/>
    </row>
    <row r="175" ht="12.75">
      <c r="B175" s="316"/>
    </row>
    <row r="176" ht="12.75">
      <c r="B176" s="316"/>
    </row>
    <row r="177" ht="12.75">
      <c r="B177" s="316"/>
    </row>
    <row r="178" ht="12.75">
      <c r="B178" s="316"/>
    </row>
    <row r="179" ht="12.75">
      <c r="B179" s="316"/>
    </row>
    <row r="180" ht="12.75">
      <c r="B180" s="316"/>
    </row>
    <row r="181" ht="12.75">
      <c r="B181" s="316"/>
    </row>
    <row r="182" ht="12.75">
      <c r="B182" s="316"/>
    </row>
    <row r="183" ht="12.75">
      <c r="B183" s="316"/>
    </row>
    <row r="184" ht="12.75">
      <c r="B184" s="316"/>
    </row>
    <row r="185" ht="12.75">
      <c r="B185" s="316"/>
    </row>
    <row r="186" ht="12.75">
      <c r="B186" s="316"/>
    </row>
    <row r="187" ht="12.75">
      <c r="B187" s="316"/>
    </row>
    <row r="188" ht="12.75">
      <c r="B188" s="316"/>
    </row>
    <row r="189" ht="12.75">
      <c r="B189" s="316"/>
    </row>
    <row r="190" ht="12.75">
      <c r="B190" s="316"/>
    </row>
    <row r="191" ht="12.75">
      <c r="B191" s="316"/>
    </row>
    <row r="192" ht="12.75">
      <c r="B192" s="316"/>
    </row>
    <row r="193" ht="12.75">
      <c r="B193" s="316"/>
    </row>
    <row r="194" ht="12.75">
      <c r="B194" s="316"/>
    </row>
    <row r="195" ht="12.75">
      <c r="B195" s="316"/>
    </row>
    <row r="196" ht="12.75">
      <c r="B196" s="316"/>
    </row>
    <row r="197" ht="12.75">
      <c r="B197" s="316"/>
    </row>
    <row r="198" ht="12.75">
      <c r="B198" s="316"/>
    </row>
    <row r="199" ht="12.75">
      <c r="B199" s="316"/>
    </row>
    <row r="200" ht="12.75">
      <c r="B200" s="316"/>
    </row>
    <row r="201" ht="12.75">
      <c r="B201" s="316"/>
    </row>
    <row r="202" ht="12.75">
      <c r="B202" s="316"/>
    </row>
    <row r="203" ht="12.75">
      <c r="B203" s="316"/>
    </row>
    <row r="204" ht="12.75">
      <c r="B204" s="316"/>
    </row>
    <row r="205" ht="12.75">
      <c r="B205" s="316"/>
    </row>
    <row r="206" ht="12.75">
      <c r="B206" s="316"/>
    </row>
    <row r="207" ht="12.75">
      <c r="B207" s="316"/>
    </row>
    <row r="208" ht="12.75">
      <c r="B208" s="316"/>
    </row>
    <row r="209" ht="12.75">
      <c r="B209" s="316"/>
    </row>
    <row r="210" ht="12.75">
      <c r="B210" s="316"/>
    </row>
    <row r="211" ht="12.75">
      <c r="B211" s="316"/>
    </row>
    <row r="212" ht="12.75">
      <c r="B212" s="316"/>
    </row>
    <row r="213" ht="12.75">
      <c r="B213" s="316"/>
    </row>
    <row r="214" ht="12.75">
      <c r="B214" s="316"/>
    </row>
    <row r="215" ht="12.75">
      <c r="B215" s="316"/>
    </row>
    <row r="216" ht="12.75">
      <c r="B216" s="316"/>
    </row>
    <row r="217" ht="12.75">
      <c r="B217" s="316"/>
    </row>
    <row r="218" ht="12.75">
      <c r="B218" s="316"/>
    </row>
    <row r="219" ht="12.75">
      <c r="B219" s="316"/>
    </row>
    <row r="220" ht="12.75">
      <c r="B220" s="316"/>
    </row>
    <row r="221" ht="12.75">
      <c r="B221" s="316"/>
    </row>
    <row r="222" ht="12.75">
      <c r="B222" s="316"/>
    </row>
    <row r="223" ht="12.75">
      <c r="B223" s="316"/>
    </row>
    <row r="224" ht="12.75">
      <c r="B224" s="316"/>
    </row>
    <row r="225" ht="12.75">
      <c r="B225" s="316"/>
    </row>
    <row r="226" ht="12.75">
      <c r="B226" s="316"/>
    </row>
    <row r="227" ht="12.75">
      <c r="B227" s="316"/>
    </row>
    <row r="228" ht="12.75">
      <c r="B228" s="316"/>
    </row>
    <row r="229" ht="12.75">
      <c r="B229" s="316"/>
    </row>
    <row r="230" ht="12.75">
      <c r="B230" s="316"/>
    </row>
    <row r="231" ht="12.75">
      <c r="B231" s="316"/>
    </row>
    <row r="232" ht="12.75">
      <c r="B232" s="316"/>
    </row>
    <row r="233" ht="12.75">
      <c r="B233" s="316"/>
    </row>
    <row r="234" ht="12.75">
      <c r="B234" s="316"/>
    </row>
    <row r="235" ht="12.75">
      <c r="B235" s="316"/>
    </row>
    <row r="236" ht="12.75">
      <c r="B236" s="316"/>
    </row>
    <row r="237" ht="12.75">
      <c r="B237" s="316"/>
    </row>
    <row r="238" ht="12.75">
      <c r="B238" s="316"/>
    </row>
    <row r="239" ht="12.75">
      <c r="B239" s="316"/>
    </row>
    <row r="240" ht="12.75">
      <c r="B240" s="316"/>
    </row>
    <row r="241" ht="12.75">
      <c r="B241" s="316"/>
    </row>
    <row r="242" ht="12.75">
      <c r="B242" s="316"/>
    </row>
    <row r="243" ht="12.75">
      <c r="B243" s="316"/>
    </row>
    <row r="244" ht="12.75">
      <c r="B244" s="316"/>
    </row>
    <row r="245" ht="12.75">
      <c r="B245" s="316"/>
    </row>
    <row r="246" ht="12.75">
      <c r="B246" s="316"/>
    </row>
    <row r="247" ht="12.75">
      <c r="B247" s="316"/>
    </row>
    <row r="248" ht="12.75">
      <c r="B248" s="316"/>
    </row>
    <row r="249" ht="12.75">
      <c r="B249" s="316"/>
    </row>
    <row r="250" ht="12.75">
      <c r="B250" s="316"/>
    </row>
    <row r="251" ht="12.75">
      <c r="B251" s="316"/>
    </row>
    <row r="252" ht="12.75">
      <c r="B252" s="316"/>
    </row>
    <row r="253" ht="12.75">
      <c r="B253" s="316"/>
    </row>
    <row r="254" ht="12.75">
      <c r="B254" s="316"/>
    </row>
    <row r="255" ht="12.75">
      <c r="B255" s="316"/>
    </row>
    <row r="256" ht="12.75">
      <c r="B256" s="316"/>
    </row>
    <row r="257" ht="12.75">
      <c r="B257" s="316"/>
    </row>
    <row r="258" ht="12.75">
      <c r="B258" s="316"/>
    </row>
    <row r="259" ht="12.75">
      <c r="B259" s="316"/>
    </row>
    <row r="260" ht="12.75">
      <c r="B260" s="316"/>
    </row>
    <row r="261" ht="12.75">
      <c r="B261" s="316"/>
    </row>
    <row r="262" ht="12.75">
      <c r="B262" s="316"/>
    </row>
    <row r="263" ht="12.75">
      <c r="B263" s="316"/>
    </row>
    <row r="264" ht="12.75">
      <c r="B264" s="316"/>
    </row>
    <row r="265" ht="12.75">
      <c r="B265" s="316"/>
    </row>
    <row r="266" ht="12.75">
      <c r="B266" s="316"/>
    </row>
    <row r="267" ht="12.75">
      <c r="B267" s="316"/>
    </row>
    <row r="268" ht="12.75">
      <c r="B268" s="316"/>
    </row>
    <row r="269" ht="12.75">
      <c r="B269" s="316"/>
    </row>
    <row r="270" ht="12.75">
      <c r="B270" s="316"/>
    </row>
  </sheetData>
  <mergeCells count="3">
    <mergeCell ref="C3:C5"/>
    <mergeCell ref="D3:D5"/>
    <mergeCell ref="E3:E5"/>
  </mergeCells>
  <printOptions/>
  <pageMargins left="0.75" right="0.75" top="0.89" bottom="1" header="0.4921259845" footer="0.4921259845"/>
  <pageSetup fitToHeight="0" fitToWidth="1" horizontalDpi="355" verticalDpi="355" orientation="portrait" paperSize="9" scale="90" r:id="rId2"/>
  <headerFooter alignWithMargins="0">
    <oddHeader>&amp;R&amp;B</oddHeader>
    <oddFooter>&amp;L&amp;9Check-list d'audit - Améliorations&amp;C&amp;8CHAUFFAGE DES BATIMENTS NON CLIMATISES&amp;R&amp;9Page &amp;P/&amp;N</oddFooter>
  </headerFooter>
  <rowBreaks count="1" manualBreakCount="1">
    <brk id="50" max="255" man="1"/>
  </rowBreaks>
  <colBreaks count="1" manualBreakCount="1">
    <brk id="1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R551"/>
  <sheetViews>
    <sheetView showGridLines="0" workbookViewId="0" topLeftCell="A152">
      <selection activeCell="G156" sqref="G156"/>
    </sheetView>
  </sheetViews>
  <sheetFormatPr defaultColWidth="11.421875" defaultRowHeight="12.75"/>
  <cols>
    <col min="1" max="1" width="5.421875" style="322" customWidth="1"/>
    <col min="2" max="2" width="0.85546875" style="2" customWidth="1"/>
    <col min="3" max="3" width="2.28125" style="2" customWidth="1"/>
    <col min="4" max="4" width="56.140625" style="2" customWidth="1"/>
    <col min="5" max="5" width="1.7109375" style="14" customWidth="1"/>
    <col min="6" max="6" width="4.7109375" style="271" customWidth="1"/>
    <col min="7" max="7" width="49.28125" style="246" customWidth="1"/>
    <col min="8" max="9" width="0.85546875" style="0" customWidth="1"/>
    <col min="10" max="10" width="1.28515625" style="0" customWidth="1"/>
    <col min="11" max="11" width="3.8515625" style="319" customWidth="1"/>
    <col min="12" max="12" width="4.00390625" style="424" customWidth="1"/>
    <col min="13" max="13" width="11.421875" style="479" customWidth="1"/>
    <col min="14" max="14" width="11.421875" style="478" customWidth="1"/>
    <col min="16" max="16" width="4.28125" style="244" customWidth="1"/>
    <col min="17" max="17" width="11.421875" style="82" customWidth="1"/>
  </cols>
  <sheetData>
    <row r="1" spans="1:17" s="14" customFormat="1" ht="19.5">
      <c r="A1" s="322"/>
      <c r="B1" s="280" t="s">
        <v>7</v>
      </c>
      <c r="C1" s="281"/>
      <c r="D1" s="281"/>
      <c r="E1" s="281"/>
      <c r="F1" s="282"/>
      <c r="G1" s="281"/>
      <c r="H1" s="281"/>
      <c r="K1" s="563" t="s">
        <v>99</v>
      </c>
      <c r="L1" s="559" t="s">
        <v>106</v>
      </c>
      <c r="M1" s="474"/>
      <c r="N1" s="475"/>
      <c r="P1" s="244"/>
      <c r="Q1" s="82"/>
    </row>
    <row r="2" spans="4:14" ht="13.5" thickBot="1">
      <c r="D2" s="323"/>
      <c r="F2" s="284"/>
      <c r="K2" s="560"/>
      <c r="L2" s="560"/>
      <c r="M2" s="476" t="s">
        <v>223</v>
      </c>
      <c r="N2" s="477"/>
    </row>
    <row r="3" spans="2:14" ht="18.75" thickBot="1">
      <c r="B3" s="324" t="s">
        <v>8</v>
      </c>
      <c r="C3" s="325"/>
      <c r="D3" s="326"/>
      <c r="F3" s="271" t="s">
        <v>78</v>
      </c>
      <c r="H3" s="4"/>
      <c r="I3" s="4"/>
      <c r="J3" s="4"/>
      <c r="K3" s="560"/>
      <c r="L3" s="560"/>
      <c r="M3" s="478" t="s">
        <v>224</v>
      </c>
      <c r="N3" s="478" t="s">
        <v>225</v>
      </c>
    </row>
    <row r="4" spans="8:17" ht="13.5" thickBot="1">
      <c r="H4" s="4"/>
      <c r="I4" s="4"/>
      <c r="J4" s="4"/>
      <c r="K4" s="302"/>
      <c r="P4" s="256"/>
      <c r="Q4" s="257"/>
    </row>
    <row r="5" spans="1:17" s="4" customFormat="1" ht="12.75">
      <c r="A5" s="327"/>
      <c r="B5" s="328"/>
      <c r="C5" s="329"/>
      <c r="D5" s="329"/>
      <c r="E5" s="232"/>
      <c r="F5" s="272"/>
      <c r="G5" s="247"/>
      <c r="H5" s="23"/>
      <c r="I5" s="24"/>
      <c r="K5" s="302"/>
      <c r="L5" s="425"/>
      <c r="M5" s="480"/>
      <c r="N5" s="481"/>
      <c r="P5" s="258"/>
      <c r="Q5" s="241"/>
    </row>
    <row r="6" spans="1:17" ht="12.75">
      <c r="A6" s="322">
        <v>0</v>
      </c>
      <c r="B6" s="330"/>
      <c r="C6" s="106" t="str">
        <f>questionnaire!C14</f>
        <v>La chaudière est-elle munie d'un brûleur à air pulsé ou d'un ventilateur d'extraction sur les fumées ?</v>
      </c>
      <c r="D6" s="106"/>
      <c r="E6" s="115"/>
      <c r="F6" s="273">
        <v>1</v>
      </c>
      <c r="G6" s="248" t="str">
        <f>INDEX(Ameliorations_rendem_chaudiereBNC,F6)</f>
        <v>Remplacer la chaudière et le brûleur</v>
      </c>
      <c r="H6" s="4"/>
      <c r="I6" s="26"/>
      <c r="K6" s="319">
        <v>0</v>
      </c>
      <c r="L6" s="426">
        <f>IF(K6=2,questionnaire!S14,IF(K6=3,0.05,0))</f>
        <v>0</v>
      </c>
      <c r="M6" s="482">
        <f>IF(K6=0,0,1)</f>
        <v>0</v>
      </c>
      <c r="N6" s="483">
        <f>IF(AND(K6=2,L6=0),1,0)</f>
        <v>0</v>
      </c>
      <c r="P6" s="258"/>
      <c r="Q6" s="241"/>
    </row>
    <row r="7" spans="2:17" ht="13.5" thickBot="1">
      <c r="B7" s="331"/>
      <c r="C7" s="332"/>
      <c r="D7" s="332"/>
      <c r="E7" s="233"/>
      <c r="F7" s="274"/>
      <c r="G7" s="249"/>
      <c r="H7" s="28"/>
      <c r="I7" s="29"/>
      <c r="N7" s="483"/>
      <c r="P7" s="258"/>
      <c r="Q7" s="241"/>
    </row>
    <row r="8" spans="6:17" ht="13.5" thickBot="1">
      <c r="F8" s="273"/>
      <c r="G8" s="250"/>
      <c r="N8" s="483"/>
      <c r="P8" s="258"/>
      <c r="Q8" s="241"/>
    </row>
    <row r="9" spans="2:17" ht="12.75">
      <c r="B9" s="328"/>
      <c r="C9" s="329"/>
      <c r="D9" s="329"/>
      <c r="E9" s="232"/>
      <c r="F9" s="275"/>
      <c r="G9" s="251"/>
      <c r="H9" s="23"/>
      <c r="I9" s="24"/>
      <c r="N9" s="483"/>
      <c r="P9" s="258"/>
      <c r="Q9" s="241"/>
    </row>
    <row r="10" spans="1:17" s="14" customFormat="1" ht="23.25" customHeight="1">
      <c r="A10" s="322">
        <f>A6+1</f>
        <v>1</v>
      </c>
      <c r="B10" s="330"/>
      <c r="C10" s="106" t="str">
        <f>questionnaire!C22</f>
        <v>Le rendement de combustion est-il supérieur </v>
      </c>
      <c r="D10" s="111"/>
      <c r="E10" s="115"/>
      <c r="F10" s="273">
        <v>7</v>
      </c>
      <c r="G10" s="248" t="str">
        <f>INDEX(Ameliorations_rendem_chaudiereBNC,F10)</f>
        <v>Améliorer le réglage du brûleur : Régler le registre d'air et la tête de combustion</v>
      </c>
      <c r="H10" s="115"/>
      <c r="I10" s="116"/>
      <c r="K10" s="318">
        <v>0</v>
      </c>
      <c r="L10" s="426">
        <f>IF(K10=2,questionnaire!S22,IF(K10=3,0.05,0))</f>
        <v>0</v>
      </c>
      <c r="M10" s="482">
        <f>IF(K10=0,0,1)</f>
        <v>0</v>
      </c>
      <c r="N10" s="483">
        <f>IF(AND(K10=2,L10=0),1,0)</f>
        <v>0</v>
      </c>
      <c r="P10" s="258"/>
      <c r="Q10" s="241"/>
    </row>
    <row r="11" spans="2:17" ht="12.75">
      <c r="B11" s="330"/>
      <c r="C11" s="106"/>
      <c r="D11" s="333" t="s">
        <v>43</v>
      </c>
      <c r="E11" s="115"/>
      <c r="F11" s="273"/>
      <c r="G11" s="248"/>
      <c r="H11" s="109"/>
      <c r="I11" s="26"/>
      <c r="N11" s="483"/>
      <c r="P11" s="258"/>
      <c r="Q11" s="241"/>
    </row>
    <row r="12" spans="2:17" ht="12.75">
      <c r="B12" s="330"/>
      <c r="C12" s="106"/>
      <c r="D12" s="333" t="s">
        <v>44</v>
      </c>
      <c r="E12" s="115"/>
      <c r="F12" s="271" t="s">
        <v>176</v>
      </c>
      <c r="G12" s="248"/>
      <c r="H12" s="109"/>
      <c r="I12" s="26"/>
      <c r="N12" s="483"/>
      <c r="P12" s="258"/>
      <c r="Q12" s="241"/>
    </row>
    <row r="13" spans="2:17" ht="12.75">
      <c r="B13" s="330"/>
      <c r="C13" s="106" t="s">
        <v>45</v>
      </c>
      <c r="D13" s="333"/>
      <c r="E13" s="115"/>
      <c r="F13" s="271" t="s">
        <v>177</v>
      </c>
      <c r="G13" s="199"/>
      <c r="H13" s="109"/>
      <c r="I13" s="26"/>
      <c r="N13" s="483"/>
      <c r="P13" s="258"/>
      <c r="Q13" s="241"/>
    </row>
    <row r="14" spans="2:17" ht="12.75">
      <c r="B14" s="330"/>
      <c r="C14" s="106"/>
      <c r="D14" s="333"/>
      <c r="E14" s="115"/>
      <c r="F14" s="278">
        <v>1</v>
      </c>
      <c r="G14" s="452" t="str">
        <f aca="true" t="shared" si="0" ref="G14:G27">INDEX(Ameliorations_rendem_chaudiereBNC,F14)</f>
        <v>Remplacer la chaudière et le brûleur</v>
      </c>
      <c r="H14" s="453"/>
      <c r="I14" s="240"/>
      <c r="N14" s="483"/>
      <c r="P14" s="258"/>
      <c r="Q14" s="241"/>
    </row>
    <row r="15" spans="2:17" ht="12.75">
      <c r="B15" s="330"/>
      <c r="C15" s="106"/>
      <c r="D15" s="333"/>
      <c r="E15" s="115"/>
      <c r="F15" s="271" t="s">
        <v>178</v>
      </c>
      <c r="G15" s="248"/>
      <c r="H15" s="109"/>
      <c r="I15" s="26"/>
      <c r="M15" s="482"/>
      <c r="N15" s="483"/>
      <c r="P15" s="258"/>
      <c r="Q15" s="241"/>
    </row>
    <row r="16" spans="1:17" ht="21" customHeight="1">
      <c r="A16" s="322" t="str">
        <f>CONCATENATE(A$10,".",1)</f>
        <v>1.1</v>
      </c>
      <c r="B16" s="330"/>
      <c r="C16" s="222" t="s">
        <v>4</v>
      </c>
      <c r="D16" s="106" t="str">
        <f>questionnaire!D35</f>
        <v>La chaudière est-elle exempte de traces d'inétanchéité à l'air ?</v>
      </c>
      <c r="F16" s="273">
        <v>8</v>
      </c>
      <c r="G16" s="248" t="str">
        <f t="shared" si="0"/>
        <v>Colmater les inétanchéités de la chaudière (portes, entre éléments en fonte) </v>
      </c>
      <c r="H16" s="115"/>
      <c r="I16" s="116"/>
      <c r="K16" s="319">
        <v>0</v>
      </c>
      <c r="L16" s="426">
        <f>IF(K16=2,questionnaire!S35,IF(K16=3,0.05,0))</f>
        <v>0</v>
      </c>
      <c r="M16" s="482">
        <f>IF(K16=0,0,1)</f>
        <v>0</v>
      </c>
      <c r="N16" s="483">
        <f>IF(AND(K16=2,L16=0),1,0)</f>
        <v>0</v>
      </c>
      <c r="P16" s="258"/>
      <c r="Q16" s="241"/>
    </row>
    <row r="17" spans="1:17" s="14" customFormat="1" ht="12.75">
      <c r="A17" s="322"/>
      <c r="B17" s="334"/>
      <c r="C17" s="335"/>
      <c r="D17" s="336"/>
      <c r="E17" s="228"/>
      <c r="F17" s="276"/>
      <c r="G17" s="252"/>
      <c r="H17" s="227"/>
      <c r="I17" s="229"/>
      <c r="K17" s="318"/>
      <c r="L17" s="423"/>
      <c r="M17" s="482"/>
      <c r="N17" s="483"/>
      <c r="P17" s="258"/>
      <c r="Q17" s="241"/>
    </row>
    <row r="18" spans="1:17" s="14" customFormat="1" ht="12.75">
      <c r="A18" s="322" t="str">
        <f>CONCATENATE(A$10,".",2)</f>
        <v>1.2</v>
      </c>
      <c r="B18" s="330"/>
      <c r="C18" s="222" t="s">
        <v>4</v>
      </c>
      <c r="D18" s="106" t="str">
        <f>questionnaire!D41</f>
        <v>Existe-t-il un régulateur de tirage sur la cheminée ?</v>
      </c>
      <c r="F18" s="271" t="s">
        <v>179</v>
      </c>
      <c r="G18" s="248"/>
      <c r="H18" s="115"/>
      <c r="I18" s="116"/>
      <c r="K18" s="318">
        <v>0</v>
      </c>
      <c r="L18" s="426">
        <f>IF(K18=2,questionnaire!S41,IF(K18=3,0.05,0))</f>
        <v>0</v>
      </c>
      <c r="M18" s="482">
        <f>IF(K18=0,0,1)</f>
        <v>0</v>
      </c>
      <c r="N18" s="483">
        <f>IF(AND(K18=2,L18=0),1,0)</f>
        <v>0</v>
      </c>
      <c r="P18" s="258"/>
      <c r="Q18" s="241"/>
    </row>
    <row r="19" spans="1:17" s="14" customFormat="1" ht="12.75">
      <c r="A19" s="322"/>
      <c r="B19" s="334"/>
      <c r="C19" s="335"/>
      <c r="D19" s="336"/>
      <c r="E19" s="228"/>
      <c r="F19" s="278">
        <v>4</v>
      </c>
      <c r="G19" s="452" t="str">
        <f t="shared" si="0"/>
        <v>Placer un régulateur de tirage </v>
      </c>
      <c r="H19" s="227"/>
      <c r="I19" s="229"/>
      <c r="K19" s="318"/>
      <c r="L19" s="423"/>
      <c r="M19" s="482"/>
      <c r="N19" s="483"/>
      <c r="P19" s="258"/>
      <c r="Q19" s="241"/>
    </row>
    <row r="20" spans="1:17" s="14" customFormat="1" ht="12.75">
      <c r="A20" s="322" t="str">
        <f>CONCATENATE(A$10,".",3)</f>
        <v>1.3</v>
      </c>
      <c r="B20" s="454"/>
      <c r="C20" s="455" t="s">
        <v>4</v>
      </c>
      <c r="D20" s="456" t="str">
        <f>questionnaire!D46</f>
        <v>Si oui, est-il correctement réglé ?</v>
      </c>
      <c r="E20" s="68"/>
      <c r="F20" s="271" t="s">
        <v>180</v>
      </c>
      <c r="G20" s="248"/>
      <c r="H20" s="227"/>
      <c r="I20" s="229"/>
      <c r="K20" s="318"/>
      <c r="L20" s="423"/>
      <c r="M20" s="485"/>
      <c r="N20" s="484"/>
      <c r="P20" s="258"/>
      <c r="Q20" s="241"/>
    </row>
    <row r="21" spans="2:17" s="14" customFormat="1" ht="12.75">
      <c r="B21" s="334"/>
      <c r="C21" s="335"/>
      <c r="D21" s="336"/>
      <c r="E21" s="228"/>
      <c r="F21" s="276">
        <v>3</v>
      </c>
      <c r="G21" s="252" t="str">
        <f t="shared" si="0"/>
        <v>Régler le régulateur de tirage</v>
      </c>
      <c r="H21" s="230"/>
      <c r="I21" s="231"/>
      <c r="K21" s="318">
        <v>0</v>
      </c>
      <c r="L21" s="426">
        <f>IF(K21=2,questionnaire!S46,IF(K21=3,0.05,0))</f>
        <v>0</v>
      </c>
      <c r="M21" s="482">
        <f>IF(K21=0,0,1)</f>
        <v>0</v>
      </c>
      <c r="N21" s="483">
        <f>IF(AND(K21=2,L21=0),1,0)</f>
        <v>0</v>
      </c>
      <c r="P21" s="258"/>
      <c r="Q21" s="241"/>
    </row>
    <row r="22" spans="1:17" ht="12.75">
      <c r="A22" s="322" t="str">
        <f>CONCATENATE(A$10,".",4)</f>
        <v>1.4</v>
      </c>
      <c r="B22" s="330"/>
      <c r="C22" s="222" t="s">
        <v>4</v>
      </c>
      <c r="D22" s="106" t="str">
        <f>questionnaire!D52</f>
        <v>La chaudière est-elle "propre" (pas encrassée) ?</v>
      </c>
      <c r="F22" s="271" t="s">
        <v>181</v>
      </c>
      <c r="G22" s="248"/>
      <c r="H22" s="115"/>
      <c r="I22" s="116"/>
      <c r="K22" s="319">
        <v>0</v>
      </c>
      <c r="L22" s="426">
        <f>IF(K22=2,questionnaire!S52,IF(K22=3,0.05,0))</f>
        <v>0</v>
      </c>
      <c r="M22" s="482">
        <f>IF(K22=0,0,1)</f>
        <v>0</v>
      </c>
      <c r="N22" s="483">
        <f>IF(AND(K22=2,L22=0),1,0)</f>
        <v>0</v>
      </c>
      <c r="P22" s="258"/>
      <c r="Q22" s="241"/>
    </row>
    <row r="23" spans="1:17" s="14" customFormat="1" ht="12.75">
      <c r="A23" s="322"/>
      <c r="B23" s="334"/>
      <c r="C23" s="335"/>
      <c r="D23" s="336"/>
      <c r="E23" s="228"/>
      <c r="F23" s="278">
        <v>5</v>
      </c>
      <c r="G23" s="452" t="str">
        <f t="shared" si="0"/>
        <v>Nettoyer la chaudière</v>
      </c>
      <c r="H23" s="227"/>
      <c r="I23" s="229"/>
      <c r="K23" s="318"/>
      <c r="L23" s="423"/>
      <c r="M23" s="482"/>
      <c r="N23" s="483"/>
      <c r="P23" s="244"/>
      <c r="Q23" s="82"/>
    </row>
    <row r="24" spans="1:17" ht="12.75">
      <c r="A24" s="322" t="str">
        <f>CONCATENATE(A$10,".",5)</f>
        <v>1.5</v>
      </c>
      <c r="B24" s="330"/>
      <c r="C24" s="222" t="s">
        <v>4</v>
      </c>
      <c r="D24" s="106" t="str">
        <f>questionnaire!D57</f>
        <v>La chaudière et le brûleur ont-ils moins de 25 ans ?</v>
      </c>
      <c r="E24" s="115"/>
      <c r="F24" s="271" t="s">
        <v>182</v>
      </c>
      <c r="G24" s="248"/>
      <c r="H24" s="115"/>
      <c r="I24" s="116"/>
      <c r="K24" s="319">
        <v>0</v>
      </c>
      <c r="L24" s="426">
        <f>IF(K24=2,questionnaire!S57,IF(K24=3,0.05,0))</f>
        <v>0</v>
      </c>
      <c r="M24" s="482">
        <f>IF(K24=0,0,1)</f>
        <v>0</v>
      </c>
      <c r="N24" s="483">
        <f>IF(AND(K24=2,L24=0),1,0)</f>
        <v>0</v>
      </c>
      <c r="P24" s="259"/>
      <c r="Q24" s="260"/>
    </row>
    <row r="25" spans="2:17" ht="12.75">
      <c r="B25" s="334"/>
      <c r="C25" s="335"/>
      <c r="D25" s="336"/>
      <c r="E25" s="228"/>
      <c r="F25" s="278">
        <v>1</v>
      </c>
      <c r="G25" s="452" t="str">
        <f t="shared" si="0"/>
        <v>Remplacer la chaudière et le brûleur</v>
      </c>
      <c r="H25" s="227"/>
      <c r="I25" s="229"/>
      <c r="M25" s="482"/>
      <c r="N25" s="483"/>
      <c r="P25" s="261"/>
      <c r="Q25" s="242"/>
    </row>
    <row r="26" spans="1:17" ht="19.5" customHeight="1">
      <c r="A26" s="322" t="str">
        <f>CONCATENATE(A$10,".",6)</f>
        <v>1.6</v>
      </c>
      <c r="B26" s="330"/>
      <c r="C26" s="222" t="s">
        <v>4</v>
      </c>
      <c r="D26" s="106" t="str">
        <f>questionnaire!D63</f>
        <v>La puissance du brûleur est-elle inférieure à celle de la chaudière ?</v>
      </c>
      <c r="F26" s="271" t="s">
        <v>183</v>
      </c>
      <c r="G26" s="248"/>
      <c r="H26" s="115"/>
      <c r="I26" s="116"/>
      <c r="K26" s="319">
        <v>0</v>
      </c>
      <c r="L26" s="426">
        <f>IF(K26=2,questionnaire!S63,IF(K26=3,0.05,0))</f>
        <v>0</v>
      </c>
      <c r="M26" s="482">
        <f>IF(K26=0,0,1)</f>
        <v>0</v>
      </c>
      <c r="N26" s="483">
        <f>IF(AND(K26=2,L26=0),1,0)</f>
        <v>0</v>
      </c>
      <c r="P26" s="261"/>
      <c r="Q26" s="242"/>
    </row>
    <row r="27" spans="2:17" ht="19.5" customHeight="1">
      <c r="B27" s="330"/>
      <c r="C27" s="457"/>
      <c r="D27" s="458"/>
      <c r="E27" s="268"/>
      <c r="F27" s="278">
        <v>9</v>
      </c>
      <c r="G27" s="452" t="str">
        <f t="shared" si="0"/>
        <v>Diminuer la puissance du brûleur existant (Mettre un gicleur de plus petit calibre)</v>
      </c>
      <c r="H27" s="459"/>
      <c r="I27" s="116"/>
      <c r="L27" s="426"/>
      <c r="M27" s="485"/>
      <c r="N27" s="483"/>
      <c r="P27" s="261"/>
      <c r="Q27" s="242"/>
    </row>
    <row r="28" spans="2:17" ht="19.5" customHeight="1">
      <c r="B28" s="330"/>
      <c r="C28" s="222"/>
      <c r="D28" s="106"/>
      <c r="F28" s="271" t="s">
        <v>176</v>
      </c>
      <c r="G28" s="199"/>
      <c r="H28" s="115"/>
      <c r="I28" s="116"/>
      <c r="L28" s="426"/>
      <c r="M28" s="485"/>
      <c r="N28" s="483"/>
      <c r="P28" s="261"/>
      <c r="Q28" s="242"/>
    </row>
    <row r="29" spans="2:17" ht="19.5" customHeight="1">
      <c r="B29" s="330"/>
      <c r="C29" s="222"/>
      <c r="D29" s="106"/>
      <c r="F29" s="271" t="s">
        <v>184</v>
      </c>
      <c r="G29" s="199"/>
      <c r="H29" s="115"/>
      <c r="I29" s="116"/>
      <c r="L29" s="426"/>
      <c r="N29" s="483"/>
      <c r="P29" s="261"/>
      <c r="Q29" s="242"/>
    </row>
    <row r="30" spans="2:17" ht="47.25" customHeight="1" thickBot="1">
      <c r="B30" s="331"/>
      <c r="C30" s="332"/>
      <c r="D30" s="332"/>
      <c r="E30" s="233"/>
      <c r="F30" s="274">
        <v>13</v>
      </c>
      <c r="G30" s="460" t="str">
        <f>INDEX(Ameliorations_rendem_chaudiereBNC,F30)</f>
        <v>Si le rendement reste inférieur à 88% après avoir effectué les améliorations possibles (colmaté et nettoyé la chaudière, régulé le tirage, diminué la puissance du brûleur),remplacer la chaudière et le brûleur</v>
      </c>
      <c r="H30" s="28"/>
      <c r="I30" s="29"/>
      <c r="M30" s="474"/>
      <c r="N30" s="484"/>
      <c r="P30" s="261"/>
      <c r="Q30" s="242"/>
    </row>
    <row r="31" spans="1:17" s="14" customFormat="1" ht="13.5" thickBot="1">
      <c r="A31" s="322"/>
      <c r="B31" s="2"/>
      <c r="C31" s="2"/>
      <c r="D31" s="2"/>
      <c r="F31" s="271"/>
      <c r="G31" s="246"/>
      <c r="H31"/>
      <c r="I31"/>
      <c r="K31" s="318"/>
      <c r="L31" s="423"/>
      <c r="M31" s="479"/>
      <c r="N31" s="483"/>
      <c r="P31" s="261"/>
      <c r="Q31" s="242"/>
    </row>
    <row r="32" spans="2:17" ht="12.75">
      <c r="B32" s="328"/>
      <c r="C32" s="329"/>
      <c r="D32" s="329"/>
      <c r="E32" s="232"/>
      <c r="F32" s="272"/>
      <c r="G32" s="247"/>
      <c r="H32" s="23"/>
      <c r="I32" s="24"/>
      <c r="M32" s="474"/>
      <c r="N32" s="484"/>
      <c r="P32" s="261"/>
      <c r="Q32" s="242"/>
    </row>
    <row r="33" spans="1:17" s="14" customFormat="1" ht="12.75">
      <c r="A33" s="322">
        <f>A10+1</f>
        <v>2</v>
      </c>
      <c r="B33" s="330"/>
      <c r="C33" s="106" t="s">
        <v>20</v>
      </c>
      <c r="D33" s="37"/>
      <c r="E33" s="68"/>
      <c r="F33" s="271" t="s">
        <v>79</v>
      </c>
      <c r="G33" s="246"/>
      <c r="H33" s="4"/>
      <c r="I33" s="26"/>
      <c r="K33" s="318"/>
      <c r="L33" s="423"/>
      <c r="M33" s="482"/>
      <c r="N33" s="483"/>
      <c r="P33" s="261"/>
      <c r="Q33" s="242"/>
    </row>
    <row r="34" spans="1:17" ht="23.25" customHeight="1">
      <c r="A34" s="322" t="str">
        <f>CONCATENATE(A$33,".",1)</f>
        <v>2.1</v>
      </c>
      <c r="B34" s="330"/>
      <c r="C34" s="222" t="s">
        <v>4</v>
      </c>
      <c r="D34" s="106" t="str">
        <f>questionnaire!D74</f>
        <v>Le corps de la chaudière est-il bien isolé ?</v>
      </c>
      <c r="E34" s="114"/>
      <c r="F34" s="273">
        <v>6</v>
      </c>
      <c r="G34" s="248" t="str">
        <f>INDEX(Ameliorations_rendem_chaudiereBNC,F34)</f>
        <v>Réisoler la chaudière, et par la suite, envisager son remplacement</v>
      </c>
      <c r="H34" s="114"/>
      <c r="I34" s="116"/>
      <c r="K34" s="319">
        <v>0</v>
      </c>
      <c r="L34" s="426">
        <f>IF(K34=2,questionnaire!S74,IF(K34=3,0.05,0))</f>
        <v>0</v>
      </c>
      <c r="M34" s="482">
        <f>IF(K34=0,0,1)</f>
        <v>0</v>
      </c>
      <c r="N34" s="483">
        <f>IF(AND(K34=2,L34=0),1,0)</f>
        <v>0</v>
      </c>
      <c r="P34" s="261"/>
      <c r="Q34" s="242"/>
    </row>
    <row r="35" spans="1:17" s="4" customFormat="1" ht="12.75">
      <c r="A35" s="322" t="str">
        <f>CONCATENATE(A$33,".",2)</f>
        <v>2.2</v>
      </c>
      <c r="B35" s="330"/>
      <c r="C35" s="222" t="s">
        <v>4</v>
      </c>
      <c r="D35" s="106" t="str">
        <f>questionnaire!D80</f>
        <v>La jaquette est-elle froide au contact de la main (T° &lt; 35°C) ?</v>
      </c>
      <c r="E35" s="114"/>
      <c r="F35" s="276"/>
      <c r="G35" s="248"/>
      <c r="H35" s="114"/>
      <c r="I35" s="116"/>
      <c r="K35" s="302">
        <v>0</v>
      </c>
      <c r="L35" s="426">
        <f>IF(K35=2,questionnaire!S80,IF(K35=3,0.05,0))</f>
        <v>0</v>
      </c>
      <c r="M35" s="482">
        <f>IF(K35=0,0,1)</f>
        <v>0</v>
      </c>
      <c r="N35" s="483">
        <f>IF(AND(K35=2,L35=0),1,0)</f>
        <v>0</v>
      </c>
      <c r="P35" s="261"/>
      <c r="Q35" s="242"/>
    </row>
    <row r="36" spans="2:18" ht="13.5" thickBot="1">
      <c r="B36" s="331"/>
      <c r="C36" s="332"/>
      <c r="D36" s="332"/>
      <c r="E36" s="233"/>
      <c r="F36" s="277"/>
      <c r="G36" s="253"/>
      <c r="H36" s="28"/>
      <c r="I36" s="29"/>
      <c r="L36" s="426"/>
      <c r="M36" s="480"/>
      <c r="N36" s="486"/>
      <c r="P36" s="261"/>
      <c r="Q36" s="242"/>
      <c r="R36" s="4"/>
    </row>
    <row r="37" spans="1:17" s="4" customFormat="1" ht="13.5" thickBot="1">
      <c r="A37" s="322"/>
      <c r="B37" s="2"/>
      <c r="C37" s="2"/>
      <c r="D37" s="2"/>
      <c r="E37" s="14"/>
      <c r="F37" s="271"/>
      <c r="G37" s="246"/>
      <c r="H37"/>
      <c r="I37"/>
      <c r="K37" s="302"/>
      <c r="L37" s="425"/>
      <c r="M37" s="479"/>
      <c r="N37" s="483"/>
      <c r="P37" s="261"/>
      <c r="Q37" s="242"/>
    </row>
    <row r="38" spans="1:18" ht="12.75">
      <c r="A38" s="327"/>
      <c r="B38" s="328"/>
      <c r="C38" s="329"/>
      <c r="D38" s="329"/>
      <c r="E38" s="232"/>
      <c r="F38" s="272"/>
      <c r="G38" s="247"/>
      <c r="H38" s="23"/>
      <c r="I38" s="24"/>
      <c r="M38" s="482"/>
      <c r="N38" s="483"/>
      <c r="P38" s="245"/>
      <c r="Q38" s="114"/>
      <c r="R38" s="4"/>
    </row>
    <row r="39" spans="1:17" s="4" customFormat="1" ht="12.75">
      <c r="A39" s="322">
        <f>A33+1</f>
        <v>3</v>
      </c>
      <c r="B39" s="330"/>
      <c r="C39" s="106" t="str">
        <f>questionnaire!C88</f>
        <v>Le clapet d'air du brûleur se referme-t-il à l'arrêt ? </v>
      </c>
      <c r="D39" s="106"/>
      <c r="E39" s="114"/>
      <c r="F39" s="271" t="s">
        <v>80</v>
      </c>
      <c r="G39" s="199"/>
      <c r="I39" s="26"/>
      <c r="K39" s="302">
        <v>0</v>
      </c>
      <c r="L39" s="426">
        <f>IF(K39=2,questionnaire!S88,IF(K39=3,0.05,0))</f>
        <v>0</v>
      </c>
      <c r="M39" s="482">
        <f>IF(K39=0,0,1)</f>
        <v>0</v>
      </c>
      <c r="N39" s="483">
        <f>IF(AND(K39=2,L39=0),1,0)</f>
        <v>0</v>
      </c>
      <c r="P39" s="262"/>
      <c r="Q39" s="263"/>
    </row>
    <row r="40" spans="1:18" ht="33.75" customHeight="1">
      <c r="A40" s="327"/>
      <c r="B40" s="330"/>
      <c r="C40" s="37" t="s">
        <v>45</v>
      </c>
      <c r="D40" s="37"/>
      <c r="E40" s="68"/>
      <c r="F40" s="278">
        <v>10</v>
      </c>
      <c r="G40" s="252" t="str">
        <f>INDEX(Ameliorations_rendem_chaudiereBNC,F40)</f>
        <v>Corriger le raccordement électrique du brûleur ou débloquer le clapet pour qu'il se ferme</v>
      </c>
      <c r="H40" s="239"/>
      <c r="I40" s="240"/>
      <c r="M40" s="482"/>
      <c r="N40" s="483"/>
      <c r="P40" s="264"/>
      <c r="Q40" s="243"/>
      <c r="R40" s="4"/>
    </row>
    <row r="41" spans="1:17" ht="12.75">
      <c r="A41" s="322" t="str">
        <f>CONCATENATE(A$39,".",1)</f>
        <v>3.1</v>
      </c>
      <c r="B41" s="330"/>
      <c r="C41" s="106" t="str">
        <f>questionnaire!C94</f>
        <v>le brûleur date -t-il d'après 1985 ?</v>
      </c>
      <c r="D41" s="106"/>
      <c r="E41" s="114"/>
      <c r="F41" s="271" t="s">
        <v>81</v>
      </c>
      <c r="G41" s="199"/>
      <c r="H41" s="4"/>
      <c r="I41" s="26"/>
      <c r="K41" s="319">
        <v>0</v>
      </c>
      <c r="L41" s="426">
        <f>IF(K41=2,questionnaire!S94,IF(K41=3,0.05,0))</f>
        <v>0</v>
      </c>
      <c r="M41" s="482">
        <f>IF(K41=0,0,1)</f>
        <v>0</v>
      </c>
      <c r="N41" s="483"/>
      <c r="P41" s="264"/>
      <c r="Q41" s="243"/>
    </row>
    <row r="42" spans="2:17" ht="12.75">
      <c r="B42" s="330"/>
      <c r="C42" s="106"/>
      <c r="D42" s="106"/>
      <c r="E42" s="114"/>
      <c r="F42" s="273">
        <v>2</v>
      </c>
      <c r="G42" s="248" t="str">
        <f>INDEX(Ameliorations_rendem_chaudiereBNC,F42)</f>
        <v>Remplacer le brûleur </v>
      </c>
      <c r="H42" s="4"/>
      <c r="I42" s="26"/>
      <c r="N42" s="483"/>
      <c r="P42" s="264"/>
      <c r="Q42" s="243"/>
    </row>
    <row r="43" spans="1:17" ht="13.5" thickBot="1">
      <c r="A43" s="327"/>
      <c r="B43" s="331"/>
      <c r="C43" s="332"/>
      <c r="D43" s="332"/>
      <c r="E43" s="233"/>
      <c r="F43" s="277"/>
      <c r="G43" s="253"/>
      <c r="H43" s="28"/>
      <c r="I43" s="29"/>
      <c r="M43" s="474"/>
      <c r="N43" s="484"/>
      <c r="P43" s="264"/>
      <c r="Q43" s="243"/>
    </row>
    <row r="44" spans="1:17" s="14" customFormat="1" ht="13.5" thickBot="1">
      <c r="A44" s="322"/>
      <c r="B44" s="2"/>
      <c r="C44" s="2"/>
      <c r="D44" s="2"/>
      <c r="F44" s="271"/>
      <c r="G44" s="246"/>
      <c r="H44"/>
      <c r="I44"/>
      <c r="K44" s="318"/>
      <c r="L44" s="423"/>
      <c r="M44" s="474"/>
      <c r="N44" s="484"/>
      <c r="P44" s="264"/>
      <c r="Q44" s="243"/>
    </row>
    <row r="45" spans="1:17" s="14" customFormat="1" ht="12.75">
      <c r="A45" s="322"/>
      <c r="B45" s="328"/>
      <c r="C45" s="329"/>
      <c r="D45" s="329"/>
      <c r="E45" s="232"/>
      <c r="F45" s="272"/>
      <c r="G45" s="247"/>
      <c r="H45" s="23"/>
      <c r="I45" s="24"/>
      <c r="K45" s="318"/>
      <c r="L45" s="423"/>
      <c r="M45" s="474"/>
      <c r="N45" s="484"/>
      <c r="P45" s="264"/>
      <c r="Q45" s="243"/>
    </row>
    <row r="46" spans="1:17" s="14" customFormat="1" ht="12.75">
      <c r="A46" s="322">
        <f>A39+1</f>
        <v>4</v>
      </c>
      <c r="B46" s="330"/>
      <c r="C46" s="106" t="s">
        <v>53</v>
      </c>
      <c r="D46" s="37"/>
      <c r="E46" s="68"/>
      <c r="F46" s="271" t="s">
        <v>79</v>
      </c>
      <c r="G46" s="246"/>
      <c r="H46" s="4"/>
      <c r="I46" s="26"/>
      <c r="K46" s="318"/>
      <c r="L46" s="423"/>
      <c r="M46" s="482"/>
      <c r="N46" s="483"/>
      <c r="P46" s="264"/>
      <c r="Q46" s="243"/>
    </row>
    <row r="47" spans="1:17" ht="23.25" customHeight="1">
      <c r="A47" s="322" t="str">
        <f>CONCATENATE(A$46,".",1)</f>
        <v>4.1</v>
      </c>
      <c r="B47" s="330"/>
      <c r="C47" s="222" t="s">
        <v>4</v>
      </c>
      <c r="D47" s="106" t="str">
        <f>questionnaire!D103</f>
        <v>Calculer le rapport </v>
      </c>
      <c r="E47" s="114"/>
      <c r="F47" s="273">
        <v>9</v>
      </c>
      <c r="G47" s="248" t="str">
        <f>INDEX(Ameliorations_rendem_chaudiereBNC,F47)</f>
        <v>Diminuer la puissance du brûleur existant (Mettre un gicleur de plus petit calibre)</v>
      </c>
      <c r="H47" s="114"/>
      <c r="I47" s="116"/>
      <c r="K47" s="319">
        <v>0</v>
      </c>
      <c r="L47" s="426">
        <f>IF(K47=2,questionnaire!S103,IF(K47=3,0.05,0))</f>
        <v>0</v>
      </c>
      <c r="M47" s="482">
        <f>IF(K47=0,0,1)</f>
        <v>0</v>
      </c>
      <c r="N47" s="483">
        <f>IF(AND(K47=2,L47=0),1,0)</f>
        <v>0</v>
      </c>
      <c r="P47" s="264"/>
      <c r="Q47" s="243"/>
    </row>
    <row r="48" spans="2:17" ht="12.75">
      <c r="B48" s="330"/>
      <c r="C48" s="106" t="s">
        <v>56</v>
      </c>
      <c r="E48" s="114"/>
      <c r="F48" s="267">
        <v>18</v>
      </c>
      <c r="G48" s="255" t="str">
        <f>INDEX(Ameliorations_gestion_chauffBNC,F48)</f>
        <v>Mettre une chaudière à l'arrêt</v>
      </c>
      <c r="H48" s="114"/>
      <c r="I48" s="116"/>
      <c r="M48" s="474"/>
      <c r="N48" s="484"/>
      <c r="P48" s="264"/>
      <c r="Q48" s="243"/>
    </row>
    <row r="49" spans="1:17" s="14" customFormat="1" ht="12.75">
      <c r="A49" s="322"/>
      <c r="B49" s="330"/>
      <c r="C49" s="222"/>
      <c r="D49" s="106" t="s">
        <v>54</v>
      </c>
      <c r="E49" s="114"/>
      <c r="F49" s="267">
        <v>17</v>
      </c>
      <c r="G49" s="255" t="str">
        <f>INDEX(Ameliorations_gestion_chauffBNC,F49)</f>
        <v>Améliorer la régulation en cascade</v>
      </c>
      <c r="H49" s="114"/>
      <c r="I49" s="116"/>
      <c r="K49" s="318"/>
      <c r="L49" s="423"/>
      <c r="M49" s="479"/>
      <c r="N49" s="483"/>
      <c r="P49" s="264"/>
      <c r="Q49" s="243"/>
    </row>
    <row r="50" spans="2:17" ht="12.75">
      <c r="B50" s="330"/>
      <c r="C50" s="337"/>
      <c r="D50" s="106" t="str">
        <f>questionnaire!D106</f>
        <v>&gt; 1 500 h pour une bâtiment ancien ?</v>
      </c>
      <c r="E50" s="223"/>
      <c r="F50" s="273"/>
      <c r="G50" s="248"/>
      <c r="H50" s="4"/>
      <c r="I50" s="26"/>
      <c r="M50" s="485"/>
      <c r="N50" s="483"/>
      <c r="P50" s="264"/>
      <c r="Q50" s="243"/>
    </row>
    <row r="51" spans="2:17" ht="12.75">
      <c r="B51" s="330"/>
      <c r="C51" s="337"/>
      <c r="D51" s="106" t="str">
        <f>questionnaire!D107</f>
        <v>&gt; 1 000 h pour un bâtiment récent et fort équipé ?</v>
      </c>
      <c r="E51" s="223"/>
      <c r="H51" s="4"/>
      <c r="I51" s="26"/>
      <c r="L51" s="426"/>
      <c r="M51" s="482"/>
      <c r="N51" s="483"/>
      <c r="P51" s="264"/>
      <c r="Q51" s="243"/>
    </row>
    <row r="52" spans="1:17" ht="12.75">
      <c r="A52" s="322" t="str">
        <f>CONCATENATE(A$46,".",2)</f>
        <v>4.2</v>
      </c>
      <c r="B52" s="330"/>
      <c r="C52" s="222" t="s">
        <v>4</v>
      </c>
      <c r="D52" s="106" t="str">
        <f>questionnaire!D112</f>
        <v>Les cycles de fonctionnement du brûleur sont-ils longs ? </v>
      </c>
      <c r="E52" s="114"/>
      <c r="G52" s="199"/>
      <c r="H52" s="114"/>
      <c r="I52" s="116"/>
      <c r="K52" s="319">
        <v>0</v>
      </c>
      <c r="L52" s="426">
        <f>IF(K52=2,questionnaire!S112,IF(K52=3,0.05,0))</f>
        <v>0</v>
      </c>
      <c r="M52" s="482">
        <f>IF(K52=0,0,1)</f>
        <v>0</v>
      </c>
      <c r="N52" s="483">
        <f>IF(AND(K52=2,L52=0),1,0)</f>
        <v>0</v>
      </c>
      <c r="P52" s="264"/>
      <c r="Q52" s="243"/>
    </row>
    <row r="53" spans="2:17" ht="12.75">
      <c r="B53" s="330"/>
      <c r="C53" s="337"/>
      <c r="D53" s="107" t="str">
        <f>questionnaire!D113</f>
        <v>(supérieurs à 4 min)</v>
      </c>
      <c r="E53" s="223"/>
      <c r="H53" s="4"/>
      <c r="I53" s="26"/>
      <c r="N53" s="483"/>
      <c r="P53" s="264"/>
      <c r="Q53" s="243"/>
    </row>
    <row r="54" spans="2:17" ht="13.5" thickBot="1">
      <c r="B54" s="331"/>
      <c r="C54" s="332"/>
      <c r="D54" s="332"/>
      <c r="E54" s="233"/>
      <c r="F54" s="277"/>
      <c r="G54" s="253"/>
      <c r="H54" s="28"/>
      <c r="I54" s="29"/>
      <c r="N54" s="483"/>
      <c r="P54" s="264"/>
      <c r="Q54" s="243"/>
    </row>
    <row r="55" spans="14:17" ht="13.5" thickBot="1">
      <c r="N55" s="483"/>
      <c r="P55" s="264"/>
      <c r="Q55" s="243"/>
    </row>
    <row r="56" spans="2:17" ht="12.75">
      <c r="B56" s="328"/>
      <c r="C56" s="329"/>
      <c r="D56" s="329"/>
      <c r="E56" s="232"/>
      <c r="F56" s="272"/>
      <c r="G56" s="247"/>
      <c r="H56" s="23"/>
      <c r="I56" s="24"/>
      <c r="M56" s="482"/>
      <c r="N56" s="483"/>
      <c r="P56" s="264"/>
      <c r="Q56" s="243"/>
    </row>
    <row r="57" spans="1:17" s="14" customFormat="1" ht="12.75">
      <c r="A57" s="322">
        <f>A46+1</f>
        <v>5</v>
      </c>
      <c r="B57" s="330"/>
      <c r="C57" s="106" t="s">
        <v>65</v>
      </c>
      <c r="D57" s="37"/>
      <c r="E57" s="68"/>
      <c r="F57" s="271" t="s">
        <v>149</v>
      </c>
      <c r="G57" s="246"/>
      <c r="H57" s="4"/>
      <c r="I57" s="26"/>
      <c r="K57" s="318">
        <v>0</v>
      </c>
      <c r="L57" s="426">
        <f>IF(K57=2,questionnaire!S121,IF(K57=3,0.05,0))</f>
        <v>0</v>
      </c>
      <c r="M57" s="482">
        <f>IF(K57=0,0,1)</f>
        <v>0</v>
      </c>
      <c r="N57" s="483">
        <f>IF(AND(K57=2,L57=0),1,0)</f>
        <v>0</v>
      </c>
      <c r="P57" s="264"/>
      <c r="Q57" s="243"/>
    </row>
    <row r="58" spans="1:17" s="14" customFormat="1" ht="21" customHeight="1">
      <c r="A58" s="322"/>
      <c r="B58" s="330"/>
      <c r="C58" s="106" t="str">
        <f>questionnaire!C121</f>
        <v>les chaudières sont-elles régulées en cascade ?</v>
      </c>
      <c r="D58" s="37"/>
      <c r="E58" s="68"/>
      <c r="F58" s="278">
        <v>12</v>
      </c>
      <c r="G58" s="252" t="str">
        <f>INDEX(Ameliorations_rendem_chaudiereBNC,F58)</f>
        <v>Equiper les chaudières pour pouvoir piloter chaudières et brûleurs en cascade</v>
      </c>
      <c r="H58" s="4"/>
      <c r="I58" s="26"/>
      <c r="K58" s="318"/>
      <c r="L58" s="423"/>
      <c r="M58" s="479"/>
      <c r="N58" s="483"/>
      <c r="P58" s="264"/>
      <c r="Q58" s="243"/>
    </row>
    <row r="59" spans="2:17" ht="12.75">
      <c r="B59" s="330"/>
      <c r="C59" s="106" t="s">
        <v>39</v>
      </c>
      <c r="D59" s="37"/>
      <c r="E59" s="68"/>
      <c r="F59" s="271" t="s">
        <v>150</v>
      </c>
      <c r="H59" s="4"/>
      <c r="I59" s="26"/>
      <c r="M59" s="482"/>
      <c r="N59" s="483"/>
      <c r="P59" s="264"/>
      <c r="Q59" s="243"/>
    </row>
    <row r="60" spans="1:17" ht="37.5" customHeight="1">
      <c r="A60" s="322" t="str">
        <f>CONCATENATE(A$57,".",1)</f>
        <v>5.1</v>
      </c>
      <c r="B60" s="330"/>
      <c r="C60" s="222" t="s">
        <v>4</v>
      </c>
      <c r="D60" s="106" t="str">
        <f>questionnaire!D125</f>
        <v>Chaque chaudière est-elle équipée d'une vanne d'isolement motorisée ?</v>
      </c>
      <c r="E60" s="114"/>
      <c r="F60" s="267">
        <v>17</v>
      </c>
      <c r="G60" s="255" t="str">
        <f>INDEX(Ameliorations_gestion_chauffBNC,F60)</f>
        <v>Améliorer la régulation en cascade</v>
      </c>
      <c r="H60" s="114"/>
      <c r="I60" s="116"/>
      <c r="K60" s="319">
        <v>0</v>
      </c>
      <c r="L60" s="426">
        <f>IF(K60=2,questionnaire!S125,IF(K60=3,0.05,0))</f>
        <v>0</v>
      </c>
      <c r="M60" s="482">
        <f>IF(K60=0,0,1)</f>
        <v>0</v>
      </c>
      <c r="N60" s="483">
        <f>IF(AND(K60=2,L60=0),1,0)</f>
        <v>0</v>
      </c>
      <c r="P60" s="264"/>
      <c r="Q60" s="243"/>
    </row>
    <row r="61" spans="1:17" ht="21">
      <c r="A61" s="322" t="str">
        <f>CONCATENATE(A$57,".",2)</f>
        <v>5.2</v>
      </c>
      <c r="B61" s="330"/>
      <c r="C61" s="222" t="s">
        <v>4</v>
      </c>
      <c r="D61" s="309" t="str">
        <f>questionnaire!D131</f>
        <v>Le maintien en température de toutes les chaudières durant la saison de chauffe est-il évité ?</v>
      </c>
      <c r="E61" s="114"/>
      <c r="G61" s="199"/>
      <c r="H61" s="114"/>
      <c r="I61" s="116"/>
      <c r="K61" s="319">
        <v>0</v>
      </c>
      <c r="L61" s="426">
        <f>IF(K61=2,questionnaire!S131,IF(K61=3,0.05,0))</f>
        <v>0</v>
      </c>
      <c r="M61" s="482">
        <f>IF(K61=0,0,1)</f>
        <v>0</v>
      </c>
      <c r="N61" s="483">
        <f>IF(AND(K61=2,L61=0),1,0)</f>
        <v>0</v>
      </c>
      <c r="P61" s="264"/>
      <c r="Q61" s="243"/>
    </row>
    <row r="62" spans="2:17" ht="13.5" thickBot="1">
      <c r="B62" s="331"/>
      <c r="C62" s="332"/>
      <c r="D62" s="332"/>
      <c r="E62" s="233"/>
      <c r="F62" s="277"/>
      <c r="G62" s="253"/>
      <c r="H62" s="28"/>
      <c r="I62" s="29"/>
      <c r="N62" s="483"/>
      <c r="P62" s="264"/>
      <c r="Q62" s="243"/>
    </row>
    <row r="63" spans="14:17" ht="13.5" thickBot="1">
      <c r="N63" s="483"/>
      <c r="P63" s="264"/>
      <c r="Q63" s="243"/>
    </row>
    <row r="64" spans="1:17" ht="12.75">
      <c r="A64" s="322">
        <f>A57+1</f>
        <v>6</v>
      </c>
      <c r="B64" s="328"/>
      <c r="C64" s="329"/>
      <c r="D64" s="329"/>
      <c r="E64" s="232"/>
      <c r="F64" s="272"/>
      <c r="G64" s="247"/>
      <c r="H64" s="23"/>
      <c r="I64" s="24"/>
      <c r="M64" s="474"/>
      <c r="N64" s="484"/>
      <c r="P64" s="264"/>
      <c r="Q64" s="243"/>
    </row>
    <row r="65" spans="1:17" s="14" customFormat="1" ht="12.75">
      <c r="A65" s="322" t="str">
        <f>CONCATENATE(A$64,".",1)</f>
        <v>6.1</v>
      </c>
      <c r="B65" s="330"/>
      <c r="C65" s="106" t="s">
        <v>69</v>
      </c>
      <c r="D65" s="37"/>
      <c r="E65" s="68"/>
      <c r="F65" s="271" t="s">
        <v>151</v>
      </c>
      <c r="G65" s="246"/>
      <c r="H65" s="4"/>
      <c r="I65" s="26"/>
      <c r="K65" s="318"/>
      <c r="L65" s="423"/>
      <c r="M65" s="482"/>
      <c r="N65" s="483"/>
      <c r="P65" s="264"/>
      <c r="Q65" s="243"/>
    </row>
    <row r="66" spans="1:17" s="69" customFormat="1" ht="27" customHeight="1">
      <c r="A66" s="322"/>
      <c r="B66" s="330"/>
      <c r="C66" s="106" t="str">
        <f>questionnaire!C140</f>
        <v>le brûleur est-il soit un brûleur 2 allures ou soit un brûleur modulant ? </v>
      </c>
      <c r="D66" s="37"/>
      <c r="E66" s="68"/>
      <c r="F66" s="276">
        <v>2</v>
      </c>
      <c r="G66" s="252" t="str">
        <f>INDEX(Ameliorations_rendem_chaudiereBNC,F66)</f>
        <v>Remplacer le brûleur </v>
      </c>
      <c r="H66" s="4"/>
      <c r="I66" s="26"/>
      <c r="K66" s="320">
        <v>0</v>
      </c>
      <c r="L66" s="426">
        <f>IF(K66=2,questionnaire!S140,IF(K66=3,0.05,0))</f>
        <v>0</v>
      </c>
      <c r="M66" s="482">
        <f>IF(K66=0,0,1)</f>
        <v>0</v>
      </c>
      <c r="N66" s="483">
        <f>IF(AND(K66=2,L66=0),1,0)</f>
        <v>0</v>
      </c>
      <c r="P66" s="264"/>
      <c r="Q66" s="243"/>
    </row>
    <row r="67" spans="2:17" ht="12.75">
      <c r="B67" s="330"/>
      <c r="C67" s="106" t="s">
        <v>39</v>
      </c>
      <c r="D67" s="37"/>
      <c r="E67" s="68"/>
      <c r="F67" s="271" t="s">
        <v>152</v>
      </c>
      <c r="H67" s="4"/>
      <c r="I67" s="26"/>
      <c r="M67" s="482"/>
      <c r="N67" s="483"/>
      <c r="P67" s="264"/>
      <c r="Q67" s="243"/>
    </row>
    <row r="68" spans="1:17" ht="24" customHeight="1">
      <c r="A68" s="322" t="str">
        <f>CONCATENATE(A$64,".",2)</f>
        <v>6.2</v>
      </c>
      <c r="B68" s="330"/>
      <c r="C68" s="523" t="str">
        <f>questionnaire!C144</f>
        <v>est-ce que la grande allure n'est réellement commandée qu'en fonction des besoins ?</v>
      </c>
      <c r="D68" s="527"/>
      <c r="E68" s="114"/>
      <c r="F68" s="273">
        <v>2</v>
      </c>
      <c r="G68" s="248" t="str">
        <f>INDEX(Ameliorations_rendem_chaudiereBNC,F68)</f>
        <v>Remplacer le brûleur </v>
      </c>
      <c r="H68" s="114"/>
      <c r="I68" s="116"/>
      <c r="K68" s="319">
        <v>0</v>
      </c>
      <c r="L68" s="426">
        <f>IF(K68=2,questionnaire!S144,IF(K68=3,0.05,0))</f>
        <v>0</v>
      </c>
      <c r="M68" s="482">
        <f>IF(K68=0,0,1)</f>
        <v>0</v>
      </c>
      <c r="N68" s="483">
        <f>IF(AND(K68=2,L68=0),1,0)</f>
        <v>0</v>
      </c>
      <c r="P68" s="264"/>
      <c r="Q68" s="243"/>
    </row>
    <row r="69" spans="1:17" ht="12.75">
      <c r="A69" s="338"/>
      <c r="B69" s="339"/>
      <c r="C69" s="107"/>
      <c r="D69" s="310"/>
      <c r="E69" s="234"/>
      <c r="F69" s="267">
        <v>17</v>
      </c>
      <c r="G69" s="255" t="str">
        <f>INDEX(Ameliorations_gestion_chauffBNC,F69)</f>
        <v>Améliorer la régulation en cascade</v>
      </c>
      <c r="H69" s="75"/>
      <c r="I69" s="71"/>
      <c r="M69" s="474"/>
      <c r="N69" s="484"/>
      <c r="P69" s="264"/>
      <c r="Q69" s="243"/>
    </row>
    <row r="70" spans="1:17" s="14" customFormat="1" ht="13.5" thickBot="1">
      <c r="A70" s="322"/>
      <c r="B70" s="331"/>
      <c r="C70" s="332"/>
      <c r="D70" s="332"/>
      <c r="E70" s="233"/>
      <c r="F70" s="277"/>
      <c r="G70" s="253"/>
      <c r="H70" s="28"/>
      <c r="I70" s="29"/>
      <c r="K70" s="318"/>
      <c r="L70" s="423"/>
      <c r="M70" s="480"/>
      <c r="N70" s="486"/>
      <c r="P70" s="264"/>
      <c r="Q70" s="243"/>
    </row>
    <row r="71" spans="1:17" s="4" customFormat="1" ht="13.5" thickBot="1">
      <c r="A71" s="322"/>
      <c r="B71" s="2"/>
      <c r="C71" s="2"/>
      <c r="D71" s="2"/>
      <c r="E71" s="14"/>
      <c r="F71" s="271"/>
      <c r="G71" s="246"/>
      <c r="H71"/>
      <c r="I71"/>
      <c r="K71" s="302"/>
      <c r="L71" s="425"/>
      <c r="M71" s="479"/>
      <c r="N71" s="483"/>
      <c r="P71" s="264"/>
      <c r="Q71" s="243"/>
    </row>
    <row r="72" spans="2:17" ht="12.75">
      <c r="B72" s="328"/>
      <c r="C72" s="329"/>
      <c r="D72" s="329"/>
      <c r="E72" s="232"/>
      <c r="F72" s="272"/>
      <c r="G72" s="247"/>
      <c r="H72" s="23"/>
      <c r="I72" s="24"/>
      <c r="M72" s="474"/>
      <c r="N72" s="484"/>
      <c r="P72" s="264"/>
      <c r="Q72" s="243"/>
    </row>
    <row r="73" spans="1:17" s="14" customFormat="1" ht="12.75">
      <c r="A73" s="322">
        <f>A64+1</f>
        <v>7</v>
      </c>
      <c r="B73" s="330"/>
      <c r="C73" s="106" t="str">
        <f>questionnaire!C151</f>
        <v>S'il y a une chaudière à condensation, </v>
      </c>
      <c r="D73" s="2"/>
      <c r="E73" s="115"/>
      <c r="F73" s="271"/>
      <c r="G73" s="199"/>
      <c r="H73" s="115"/>
      <c r="I73" s="116"/>
      <c r="K73" s="318"/>
      <c r="L73" s="423"/>
      <c r="M73" s="482"/>
      <c r="N73" s="483"/>
      <c r="P73" s="264"/>
      <c r="Q73" s="243"/>
    </row>
    <row r="74" spans="2:17" ht="24.75" customHeight="1">
      <c r="B74" s="330"/>
      <c r="C74" s="106" t="str">
        <f>questionnaire!C152</f>
        <v>la température de retour de l'eau vers la chaudière est le plus souvent &lt; 50°C ?</v>
      </c>
      <c r="D74" s="37"/>
      <c r="E74" s="115"/>
      <c r="F74" s="266">
        <v>13</v>
      </c>
      <c r="G74" s="254" t="str">
        <f>INDEX(Ameliorations_reseau_emissionBNC,F74)</f>
        <v>Améliorer le réseau hydraulique pour valoriser la chaudière à condensation</v>
      </c>
      <c r="H74" s="68"/>
      <c r="I74" s="116"/>
      <c r="K74" s="319">
        <v>0</v>
      </c>
      <c r="L74" s="426">
        <f>IF(K74=2,questionnaire!S152,IF(K74=3,0.05,0))</f>
        <v>0</v>
      </c>
      <c r="M74" s="482">
        <f>IF(K74=0,0,1)</f>
        <v>0</v>
      </c>
      <c r="N74" s="483">
        <f>IF(AND(K74=2,L74=0),1,0)</f>
        <v>0</v>
      </c>
      <c r="P74" s="264"/>
      <c r="Q74" s="243"/>
    </row>
    <row r="75" spans="1:14" ht="36" customHeight="1">
      <c r="A75" s="338"/>
      <c r="B75" s="339"/>
      <c r="C75" s="107" t="s">
        <v>57</v>
      </c>
      <c r="D75" s="340"/>
      <c r="E75" s="235"/>
      <c r="F75" s="267">
        <v>6</v>
      </c>
      <c r="G75" s="255" t="str">
        <f>INDEX(Ameliorations_gestion_chauffBNC,F75)</f>
        <v>Vérifier les paramètres de régulation pour permettre la condensation (l'eau arrive froide à la chaudière) </v>
      </c>
      <c r="H75" s="75"/>
      <c r="I75" s="71"/>
      <c r="N75" s="483"/>
    </row>
    <row r="76" spans="1:14" ht="13.5" thickBot="1">
      <c r="A76" s="327"/>
      <c r="B76" s="331"/>
      <c r="C76" s="332"/>
      <c r="D76" s="332"/>
      <c r="E76" s="233"/>
      <c r="F76" s="277"/>
      <c r="G76" s="253"/>
      <c r="H76" s="28"/>
      <c r="I76" s="29"/>
      <c r="N76" s="483"/>
    </row>
    <row r="77" ht="13.5" thickBot="1">
      <c r="N77" s="483"/>
    </row>
    <row r="78" spans="2:14" ht="12.75">
      <c r="B78" s="328"/>
      <c r="C78" s="329"/>
      <c r="D78" s="329"/>
      <c r="E78" s="232"/>
      <c r="F78" s="272"/>
      <c r="G78" s="247"/>
      <c r="H78" s="23"/>
      <c r="I78" s="24"/>
      <c r="M78" s="482"/>
      <c r="N78" s="483"/>
    </row>
    <row r="79" spans="1:14" ht="31.5">
      <c r="A79" s="322">
        <f>A73+1</f>
        <v>8</v>
      </c>
      <c r="B79" s="330"/>
      <c r="D79" s="309" t="str">
        <f>questionnaire!C158</f>
        <v>S'il existe des besoins de chaleur et d'électricité continus et simultanés, sont-ils valorisés par une installation de cogénération ?</v>
      </c>
      <c r="E79" s="115"/>
      <c r="F79" s="273">
        <v>11</v>
      </c>
      <c r="G79" s="248" t="str">
        <f>INDEX(Ameliorations_rendem_chaudiereBNC,F79)</f>
        <v>Etudier la faisabilité de la cogénération</v>
      </c>
      <c r="H79" s="4"/>
      <c r="I79" s="26"/>
      <c r="K79" s="319">
        <v>0</v>
      </c>
      <c r="L79" s="426">
        <f>IF(K79=2,questionnaire!S158,IF(K79=3,0.05,0))</f>
        <v>0</v>
      </c>
      <c r="M79" s="482">
        <f>IF(K79=0,0,1)</f>
        <v>0</v>
      </c>
      <c r="N79" s="483">
        <f>IF(AND(K79=2,L79=0),1,0)</f>
        <v>0</v>
      </c>
    </row>
    <row r="80" spans="1:17" s="4" customFormat="1" ht="13.5" thickBot="1">
      <c r="A80" s="322"/>
      <c r="B80" s="331"/>
      <c r="C80" s="332"/>
      <c r="D80" s="332"/>
      <c r="E80" s="233"/>
      <c r="F80" s="277"/>
      <c r="G80" s="253"/>
      <c r="H80" s="28"/>
      <c r="I80" s="29"/>
      <c r="K80" s="302"/>
      <c r="L80" s="425"/>
      <c r="M80" s="474"/>
      <c r="N80" s="484"/>
      <c r="P80" s="244"/>
      <c r="Q80" s="82"/>
    </row>
    <row r="81" spans="1:17" s="14" customFormat="1" ht="13.5" thickBot="1">
      <c r="A81" s="327"/>
      <c r="B81" s="37"/>
      <c r="C81" s="37"/>
      <c r="D81" s="37"/>
      <c r="E81" s="68"/>
      <c r="F81" s="271"/>
      <c r="G81" s="246"/>
      <c r="H81" s="4"/>
      <c r="I81" s="4"/>
      <c r="K81" s="318"/>
      <c r="L81" s="423"/>
      <c r="M81" s="479"/>
      <c r="N81" s="483"/>
      <c r="P81" s="244"/>
      <c r="Q81" s="82"/>
    </row>
    <row r="82" spans="2:14" ht="18.75" thickBot="1">
      <c r="B82" s="324" t="str">
        <f>questionnaire!B166</f>
        <v>Distribution d'eau chaude</v>
      </c>
      <c r="C82" s="325"/>
      <c r="D82" s="326"/>
      <c r="F82" s="284"/>
      <c r="H82" s="4"/>
      <c r="M82" s="480"/>
      <c r="N82" s="486"/>
    </row>
    <row r="83" spans="1:17" s="4" customFormat="1" ht="12.75">
      <c r="A83" s="322"/>
      <c r="B83" s="2"/>
      <c r="C83" s="2"/>
      <c r="D83" s="2"/>
      <c r="E83" s="14"/>
      <c r="F83" s="271"/>
      <c r="G83" s="246"/>
      <c r="I83"/>
      <c r="K83" s="302"/>
      <c r="L83" s="425"/>
      <c r="M83" s="474"/>
      <c r="N83" s="484"/>
      <c r="P83" s="244"/>
      <c r="Q83" s="82"/>
    </row>
    <row r="84" spans="1:17" s="14" customFormat="1" ht="18">
      <c r="A84" s="322"/>
      <c r="B84" s="341" t="str">
        <f>questionnaire!B169</f>
        <v>Isolation des conduites</v>
      </c>
      <c r="C84" s="342"/>
      <c r="D84" s="343"/>
      <c r="E84" s="68"/>
      <c r="F84" s="271"/>
      <c r="G84" s="246"/>
      <c r="H84" s="68"/>
      <c r="K84" s="318"/>
      <c r="L84" s="423"/>
      <c r="M84" s="479"/>
      <c r="N84" s="483"/>
      <c r="P84" s="244"/>
      <c r="Q84" s="82"/>
    </row>
    <row r="85" spans="8:14" ht="13.5" thickBot="1">
      <c r="H85" s="4"/>
      <c r="M85" s="474"/>
      <c r="N85" s="484"/>
    </row>
    <row r="86" spans="1:17" s="14" customFormat="1" ht="12.75">
      <c r="A86" s="327">
        <f>A79+1</f>
        <v>9</v>
      </c>
      <c r="B86" s="328"/>
      <c r="C86" s="329"/>
      <c r="D86" s="329"/>
      <c r="E86" s="232"/>
      <c r="F86" s="413"/>
      <c r="G86" s="414"/>
      <c r="H86" s="23"/>
      <c r="I86" s="24"/>
      <c r="K86" s="318"/>
      <c r="L86" s="423"/>
      <c r="M86" s="482"/>
      <c r="N86" s="483"/>
      <c r="P86" s="244"/>
      <c r="Q86" s="82"/>
    </row>
    <row r="87" spans="1:14" ht="40.5" customHeight="1">
      <c r="A87" s="322" t="str">
        <f>CONCATENATE(A$86,".",1)</f>
        <v>9.1</v>
      </c>
      <c r="B87" s="330"/>
      <c r="C87" s="523" t="str">
        <f>questionnaire!C173</f>
        <v>Les conduites traversant les locaux non chauffés en permanence (chaufferie, gaines techniques, faux-plafonds, …) sont-elles isolées ?</v>
      </c>
      <c r="D87" s="538"/>
      <c r="E87" s="115"/>
      <c r="F87" s="415">
        <v>1</v>
      </c>
      <c r="G87" s="416" t="str">
        <f>INDEX(Ameliorations_reseau_emissionBNC,F87)</f>
        <v>Isoler les conduites (ainsi que les vannes) dans les locaux non chauffés en permanence (gaines techniques, faux-plafonds, …)</v>
      </c>
      <c r="H87" s="268"/>
      <c r="I87" s="269"/>
      <c r="K87" s="319">
        <v>0</v>
      </c>
      <c r="L87" s="426">
        <f>IF(K87=2,questionnaire!S173,IF(K87=3,0.05,0))</f>
        <v>0</v>
      </c>
      <c r="M87" s="482">
        <f>IF(K87=0,0,1)</f>
        <v>0</v>
      </c>
      <c r="N87" s="483">
        <f>IF(AND(K87=2,L87=0),1,0)</f>
        <v>0</v>
      </c>
    </row>
    <row r="88" spans="1:17" s="4" customFormat="1" ht="12.75">
      <c r="A88" s="327"/>
      <c r="B88" s="330"/>
      <c r="C88" s="37"/>
      <c r="D88" s="37"/>
      <c r="E88" s="223"/>
      <c r="F88" s="271" t="s">
        <v>83</v>
      </c>
      <c r="G88" s="246"/>
      <c r="I88" s="26"/>
      <c r="K88" s="302"/>
      <c r="L88" s="425"/>
      <c r="M88" s="482"/>
      <c r="N88" s="483"/>
      <c r="P88" s="245"/>
      <c r="Q88" s="114"/>
    </row>
    <row r="89" spans="1:14" ht="27" customHeight="1">
      <c r="A89" s="322" t="str">
        <f>CONCATENATE(A$86,".",2)</f>
        <v>9.2</v>
      </c>
      <c r="B89" s="330"/>
      <c r="C89" s="106" t="str">
        <f>questionnaire!C179</f>
        <v>Les vannes sont-elles également isolées ?</v>
      </c>
      <c r="D89" s="111"/>
      <c r="E89" s="115"/>
      <c r="F89" s="266">
        <v>11</v>
      </c>
      <c r="G89" s="254" t="str">
        <f>INDEX(Ameliorations_reseau_emissionBNC,F89)</f>
        <v>Isoler les vannes situées sur les conduites isolées</v>
      </c>
      <c r="H89" s="68"/>
      <c r="I89" s="116"/>
      <c r="K89" s="319">
        <v>0</v>
      </c>
      <c r="L89" s="426">
        <f>IF(K89=2,questionnaire!S179,IF(K89=3,0.05,0))</f>
        <v>0</v>
      </c>
      <c r="M89" s="482">
        <f>IF(K89=0,0,1)</f>
        <v>0</v>
      </c>
      <c r="N89" s="483">
        <f>IF(AND(K89=2,L89=0),1,0)</f>
        <v>0</v>
      </c>
    </row>
    <row r="90" spans="2:14" ht="13.5" thickBot="1">
      <c r="B90" s="331"/>
      <c r="C90" s="332"/>
      <c r="D90" s="332"/>
      <c r="E90" s="233"/>
      <c r="F90" s="277"/>
      <c r="G90" s="253"/>
      <c r="H90" s="28"/>
      <c r="I90" s="29"/>
      <c r="M90" s="474"/>
      <c r="N90" s="484"/>
    </row>
    <row r="91" spans="1:17" s="14" customFormat="1" ht="12.75">
      <c r="A91" s="322"/>
      <c r="B91" s="2"/>
      <c r="C91" s="2"/>
      <c r="D91" s="2"/>
      <c r="F91" s="271"/>
      <c r="G91" s="246"/>
      <c r="H91"/>
      <c r="I91"/>
      <c r="K91" s="318"/>
      <c r="L91" s="423"/>
      <c r="M91" s="474"/>
      <c r="N91" s="484"/>
      <c r="P91" s="244"/>
      <c r="Q91" s="82"/>
    </row>
    <row r="92" spans="1:17" s="14" customFormat="1" ht="18">
      <c r="A92" s="322"/>
      <c r="B92" s="341" t="str">
        <f>questionnaire!B184</f>
        <v>Circulateurs</v>
      </c>
      <c r="C92" s="342"/>
      <c r="D92" s="343"/>
      <c r="E92" s="68"/>
      <c r="F92" s="271"/>
      <c r="G92" s="246"/>
      <c r="H92" s="68"/>
      <c r="K92" s="318"/>
      <c r="L92" s="423"/>
      <c r="M92" s="474"/>
      <c r="N92" s="484"/>
      <c r="P92" s="244"/>
      <c r="Q92" s="82"/>
    </row>
    <row r="93" spans="8:14" ht="13.5" thickBot="1">
      <c r="H93" s="4"/>
      <c r="M93" s="474"/>
      <c r="N93" s="484"/>
    </row>
    <row r="94" spans="1:17" s="14" customFormat="1" ht="12.75">
      <c r="A94" s="322">
        <f>A86+1</f>
        <v>10</v>
      </c>
      <c r="B94" s="328"/>
      <c r="C94" s="329"/>
      <c r="D94" s="329"/>
      <c r="E94" s="232"/>
      <c r="F94" s="272"/>
      <c r="G94" s="247"/>
      <c r="H94" s="23"/>
      <c r="I94" s="24"/>
      <c r="K94" s="318"/>
      <c r="L94" s="423"/>
      <c r="M94" s="474"/>
      <c r="N94" s="484"/>
      <c r="P94" s="244"/>
      <c r="Q94" s="82"/>
    </row>
    <row r="95" spans="1:17" s="14" customFormat="1" ht="12.75">
      <c r="A95" s="322"/>
      <c r="B95" s="330"/>
      <c r="C95" s="106" t="s">
        <v>73</v>
      </c>
      <c r="D95" s="37"/>
      <c r="E95" s="68"/>
      <c r="F95" s="271" t="s">
        <v>111</v>
      </c>
      <c r="G95" s="246"/>
      <c r="H95" s="4"/>
      <c r="I95" s="26"/>
      <c r="K95" s="318"/>
      <c r="L95" s="423"/>
      <c r="M95" s="482"/>
      <c r="N95" s="483"/>
      <c r="P95" s="244"/>
      <c r="Q95" s="82"/>
    </row>
    <row r="96" spans="1:14" ht="31.5">
      <c r="A96" s="322" t="str">
        <f>CONCATENATE(A$94,".",1)</f>
        <v>10.1</v>
      </c>
      <c r="B96" s="330"/>
      <c r="C96" s="222" t="s">
        <v>4</v>
      </c>
      <c r="D96" s="309" t="str">
        <f>questionnaire!D189</f>
        <v>La somme des puissances électriques des circulateurs est-elle inférieure à
2°/。。 de la puissance des chaudières ?</v>
      </c>
      <c r="E96" s="114"/>
      <c r="F96" s="266">
        <v>2</v>
      </c>
      <c r="G96" s="254" t="str">
        <f>INDEX(Ameliorations_reseau_emissionBNC,F96)</f>
        <v>Réduire de vitesse les circulateurs à plusieurs vitesses</v>
      </c>
      <c r="H96" s="114"/>
      <c r="I96" s="116"/>
      <c r="K96" s="319">
        <v>0</v>
      </c>
      <c r="L96" s="426">
        <f>IF(K96=2,questionnaire!S189,IF(K96=3,0.05,0))</f>
        <v>0</v>
      </c>
      <c r="M96" s="482">
        <f>IF(K96=0,0,1)</f>
        <v>0</v>
      </c>
      <c r="N96" s="483">
        <f>IF(AND(K96=2,L96=0),1,0)</f>
        <v>0</v>
      </c>
    </row>
    <row r="97" spans="2:14" ht="5.25" customHeight="1">
      <c r="B97" s="330"/>
      <c r="C97" s="222"/>
      <c r="D97" s="311"/>
      <c r="E97" s="114"/>
      <c r="H97" s="114"/>
      <c r="I97" s="116"/>
      <c r="M97" s="482"/>
      <c r="N97" s="483"/>
    </row>
    <row r="98" spans="1:14" ht="24.75" customHeight="1">
      <c r="A98" s="322" t="str">
        <f>CONCATENATE(A$94,".",2)</f>
        <v>10.2</v>
      </c>
      <c r="B98" s="330"/>
      <c r="C98" s="222" t="s">
        <v>4</v>
      </c>
      <c r="D98" s="309" t="str">
        <f>questionnaire!D195</f>
        <v>Par grand froid (T° &lt; 0°C), la différence de température entre le départ et le retour des circuits est-elle &gt; 15°C?</v>
      </c>
      <c r="E98" s="114"/>
      <c r="F98" s="266">
        <v>3</v>
      </c>
      <c r="G98" s="254" t="str">
        <f>INDEX(Ameliorations_reseau_emissionBNC,F98)</f>
        <v>Remplacer les circulateurs existants par des circulateurs à vitesse variable</v>
      </c>
      <c r="H98" s="114"/>
      <c r="I98" s="116"/>
      <c r="K98" s="319">
        <v>0</v>
      </c>
      <c r="L98" s="426">
        <f>IF(K98=2,questionnaire!S195,IF(K98=3,0.05,0))</f>
        <v>0</v>
      </c>
      <c r="M98" s="482">
        <f>IF(K98=0,0,1)</f>
        <v>0</v>
      </c>
      <c r="N98" s="483">
        <f>IF(AND(K98=2,L98=0),1,0)</f>
        <v>0</v>
      </c>
    </row>
    <row r="99" spans="1:17" s="14" customFormat="1" ht="13.5" thickBot="1">
      <c r="A99" s="322"/>
      <c r="B99" s="331"/>
      <c r="C99" s="332"/>
      <c r="D99" s="332"/>
      <c r="E99" s="233"/>
      <c r="F99" s="277"/>
      <c r="G99" s="253"/>
      <c r="H99" s="28"/>
      <c r="I99" s="29"/>
      <c r="K99" s="318"/>
      <c r="L99" s="423"/>
      <c r="M99" s="479"/>
      <c r="N99" s="483"/>
      <c r="P99" s="244"/>
      <c r="Q99" s="82"/>
    </row>
    <row r="100" ht="13.5" thickBot="1">
      <c r="N100" s="483"/>
    </row>
    <row r="101" spans="2:14" ht="12.75">
      <c r="B101" s="328"/>
      <c r="C101" s="329"/>
      <c r="D101" s="329"/>
      <c r="E101" s="232"/>
      <c r="F101" s="272"/>
      <c r="G101" s="247"/>
      <c r="H101" s="23"/>
      <c r="I101" s="24"/>
      <c r="M101" s="482"/>
      <c r="N101" s="483"/>
    </row>
    <row r="102" spans="1:14" ht="31.5">
      <c r="A102" s="322">
        <f>A94+1</f>
        <v>11</v>
      </c>
      <c r="B102" s="330"/>
      <c r="D102" s="309" t="str">
        <f>questionnaire!C202</f>
        <v>Si l'installation est équipée de radiateurs (ou convecteurs) avec vannes thermostatiques, la pompe de circulation est-elle à vitesse variable ?</v>
      </c>
      <c r="E102" s="115"/>
      <c r="F102" s="266">
        <v>3</v>
      </c>
      <c r="G102" s="254" t="str">
        <f>INDEX(Ameliorations_reseau_emissionBNC,F102)</f>
        <v>Remplacer les circulateurs existants par des circulateurs à vitesse variable</v>
      </c>
      <c r="H102" s="68"/>
      <c r="I102" s="116"/>
      <c r="K102" s="319">
        <v>0</v>
      </c>
      <c r="L102" s="426">
        <f>IF(K102=2,questionnaire!S202,IF(K102=3,0.05,0))</f>
        <v>0</v>
      </c>
      <c r="M102" s="482">
        <f>IF(K102=0,0,1)</f>
        <v>0</v>
      </c>
      <c r="N102" s="483">
        <f>IF(AND(K102=2,L102=0),1,0)</f>
        <v>0</v>
      </c>
    </row>
    <row r="103" spans="2:14" ht="12.75">
      <c r="B103" s="330"/>
      <c r="C103" s="344"/>
      <c r="D103" s="345"/>
      <c r="E103" s="223"/>
      <c r="H103" s="4"/>
      <c r="I103" s="26"/>
      <c r="N103" s="483"/>
    </row>
    <row r="104" spans="1:17" s="14" customFormat="1" ht="13.5" thickBot="1">
      <c r="A104" s="322"/>
      <c r="B104" s="331"/>
      <c r="C104" s="332"/>
      <c r="D104" s="332"/>
      <c r="E104" s="233"/>
      <c r="F104" s="277"/>
      <c r="G104" s="253"/>
      <c r="H104" s="28"/>
      <c r="I104" s="29"/>
      <c r="K104" s="318"/>
      <c r="L104" s="423"/>
      <c r="M104" s="479"/>
      <c r="N104" s="483"/>
      <c r="P104" s="244"/>
      <c r="Q104" s="82"/>
    </row>
    <row r="105" spans="14:17" ht="12.75">
      <c r="N105" s="483"/>
      <c r="P105" s="245"/>
      <c r="Q105" s="114"/>
    </row>
    <row r="106" spans="1:14" ht="18">
      <c r="A106" s="327"/>
      <c r="B106" s="341" t="str">
        <f>questionnaire!B207</f>
        <v>Réseau</v>
      </c>
      <c r="C106" s="342"/>
      <c r="D106" s="343"/>
      <c r="E106" s="68"/>
      <c r="H106" s="68"/>
      <c r="I106" s="68"/>
      <c r="M106" s="474"/>
      <c r="N106" s="484"/>
    </row>
    <row r="107" spans="1:17" s="14" customFormat="1" ht="13.5" thickBot="1">
      <c r="A107" s="322"/>
      <c r="B107" s="2"/>
      <c r="C107" s="2"/>
      <c r="D107" s="2"/>
      <c r="F107" s="271"/>
      <c r="G107" s="246"/>
      <c r="H107"/>
      <c r="I107"/>
      <c r="K107" s="318"/>
      <c r="L107" s="423"/>
      <c r="M107" s="479"/>
      <c r="N107" s="483"/>
      <c r="P107" s="244"/>
      <c r="Q107" s="82"/>
    </row>
    <row r="108" spans="1:17" s="68" customFormat="1" ht="12.75">
      <c r="A108" s="322"/>
      <c r="B108" s="328"/>
      <c r="C108" s="329"/>
      <c r="D108" s="329"/>
      <c r="E108" s="232"/>
      <c r="F108" s="272"/>
      <c r="G108" s="247"/>
      <c r="H108" s="23"/>
      <c r="I108" s="24"/>
      <c r="K108" s="321"/>
      <c r="L108" s="427"/>
      <c r="M108" s="474"/>
      <c r="N108" s="484"/>
      <c r="P108" s="244"/>
      <c r="Q108" s="82"/>
    </row>
    <row r="109" spans="1:14" ht="12.75">
      <c r="A109" s="322">
        <f>A102+1</f>
        <v>12</v>
      </c>
      <c r="B109" s="330"/>
      <c r="C109" s="106" t="str">
        <f>questionnaire!C211</f>
        <v>Le circuit hydraulique est-il découpé par zones de besoins homogènes ?</v>
      </c>
      <c r="D109" s="111"/>
      <c r="E109" s="115"/>
      <c r="F109" s="266">
        <v>12</v>
      </c>
      <c r="G109" s="254" t="str">
        <f>INDEX(Ameliorations_reseau_emissionBNC,F109)</f>
        <v>Adapter le découpage du réseau aux besoins des locaux</v>
      </c>
      <c r="H109" s="68"/>
      <c r="I109" s="116"/>
      <c r="K109" s="319">
        <v>0</v>
      </c>
      <c r="L109" s="426">
        <f>IF(K109=2,questionnaire!S211,IF(K109=3,0.05,0))</f>
        <v>0</v>
      </c>
      <c r="M109" s="482">
        <f>IF(K109=0,0,1)</f>
        <v>0</v>
      </c>
      <c r="N109" s="483">
        <f>IF(AND(K109=2,L109=0),1,0)</f>
        <v>0</v>
      </c>
    </row>
    <row r="110" spans="1:17" s="14" customFormat="1" ht="12.75">
      <c r="A110" s="322"/>
      <c r="B110" s="330"/>
      <c r="C110" s="537"/>
      <c r="D110" s="537"/>
      <c r="E110" s="237"/>
      <c r="F110" s="279"/>
      <c r="G110" s="270"/>
      <c r="H110" s="111"/>
      <c r="I110" s="26"/>
      <c r="K110" s="318"/>
      <c r="L110" s="423"/>
      <c r="M110" s="487"/>
      <c r="N110" s="488"/>
      <c r="P110" s="245"/>
      <c r="Q110" s="114"/>
    </row>
    <row r="111" spans="1:14" ht="13.5" customHeight="1">
      <c r="A111" s="327"/>
      <c r="B111" s="330"/>
      <c r="C111" s="37" t="s">
        <v>39</v>
      </c>
      <c r="D111" s="37"/>
      <c r="E111" s="68"/>
      <c r="F111" s="271" t="s">
        <v>84</v>
      </c>
      <c r="H111" s="68"/>
      <c r="I111" s="116"/>
      <c r="M111" s="482"/>
      <c r="N111" s="483"/>
    </row>
    <row r="112" spans="1:14" ht="22.5" customHeight="1">
      <c r="A112" s="322" t="str">
        <f>CONCATENATE(A$109,".",1)</f>
        <v>12.1</v>
      </c>
      <c r="B112" s="330"/>
      <c r="C112" s="106" t="str">
        <f>questionnaire!D217</f>
        <v>Les différents circuits ont-ils leur propre régulation ?</v>
      </c>
      <c r="E112" s="114"/>
      <c r="F112" s="267">
        <v>10</v>
      </c>
      <c r="G112" s="255" t="str">
        <f>INDEX(Ameliorations_gestion_chauffBNC,F112)</f>
        <v>Equiper les différents circuits d'une régulation indépendante.</v>
      </c>
      <c r="H112" s="114"/>
      <c r="I112" s="116"/>
      <c r="K112" s="319">
        <v>0</v>
      </c>
      <c r="L112" s="426">
        <f>IF(AND(K109=1,K112=2),questionnaire!S217,IF(AND(OR(K109=1,K109=3),OR(K112=2,K112=3)),0.05,0))</f>
        <v>0</v>
      </c>
      <c r="M112" s="482">
        <f>IF(K112=0,0,1)</f>
        <v>0</v>
      </c>
      <c r="N112" s="483">
        <f>IF(AND(K112=2,L112=0),1,0)</f>
        <v>0</v>
      </c>
    </row>
    <row r="113" spans="1:17" s="14" customFormat="1" ht="13.5" thickBot="1">
      <c r="A113" s="322"/>
      <c r="B113" s="331"/>
      <c r="C113" s="332"/>
      <c r="D113" s="332"/>
      <c r="E113" s="233"/>
      <c r="F113" s="277"/>
      <c r="G113" s="253"/>
      <c r="H113" s="28"/>
      <c r="I113" s="29"/>
      <c r="K113" s="318"/>
      <c r="L113" s="423"/>
      <c r="M113" s="479"/>
      <c r="N113" s="483"/>
      <c r="P113" s="244"/>
      <c r="Q113" s="82"/>
    </row>
    <row r="114" spans="1:17" s="14" customFormat="1" ht="13.5" thickBot="1">
      <c r="A114" s="322"/>
      <c r="B114" s="2"/>
      <c r="C114" s="2"/>
      <c r="D114" s="2"/>
      <c r="F114" s="271"/>
      <c r="G114" s="246"/>
      <c r="H114"/>
      <c r="I114"/>
      <c r="K114" s="318"/>
      <c r="L114" s="423"/>
      <c r="M114" s="482"/>
      <c r="N114" s="483"/>
      <c r="P114" s="244"/>
      <c r="Q114" s="82"/>
    </row>
    <row r="115" spans="2:17" ht="12.75">
      <c r="B115" s="328"/>
      <c r="C115" s="329"/>
      <c r="D115" s="329"/>
      <c r="E115" s="232"/>
      <c r="F115" s="272" t="s">
        <v>251</v>
      </c>
      <c r="G115" s="247"/>
      <c r="H115" s="23"/>
      <c r="I115" s="24"/>
      <c r="M115" s="474"/>
      <c r="N115" s="484"/>
      <c r="P115" s="245"/>
      <c r="Q115" s="114"/>
    </row>
    <row r="116" spans="1:14" ht="12.75">
      <c r="A116" s="322">
        <f>A109+1</f>
        <v>13</v>
      </c>
      <c r="B116" s="330"/>
      <c r="C116" s="346" t="str">
        <f>questionnaire!C223</f>
        <v>Les locaux en bout de circuit de chauffage sont-ils aussi bien chauffés que les autres ?</v>
      </c>
      <c r="D116" s="37"/>
      <c r="E116" s="115"/>
      <c r="F116" s="266">
        <v>5</v>
      </c>
      <c r="G116" s="254" t="str">
        <f>INDEX(Ameliorations_reseau_emissionBNC,F116)</f>
        <v>Équilibrer le réseau hydraulique</v>
      </c>
      <c r="H116" s="68"/>
      <c r="I116" s="116"/>
      <c r="K116" s="319">
        <v>0</v>
      </c>
      <c r="L116" s="426">
        <f>IF(K116=2,questionnaire!S223,IF(K116=3,0.05,0))</f>
        <v>0</v>
      </c>
      <c r="M116" s="482">
        <f>IF(K116=0,0,1)</f>
        <v>0</v>
      </c>
      <c r="N116" s="483">
        <f>IF(AND(K116=2,L116=0),1,0)</f>
        <v>0</v>
      </c>
    </row>
    <row r="117" spans="1:17" s="14" customFormat="1" ht="13.5" thickBot="1">
      <c r="A117" s="322"/>
      <c r="B117" s="331"/>
      <c r="C117" s="332"/>
      <c r="D117" s="332"/>
      <c r="E117" s="233"/>
      <c r="F117" s="277"/>
      <c r="G117" s="253"/>
      <c r="H117" s="28"/>
      <c r="I117" s="29"/>
      <c r="K117" s="318"/>
      <c r="L117" s="423"/>
      <c r="M117" s="479"/>
      <c r="N117" s="483"/>
      <c r="P117" s="244"/>
      <c r="Q117" s="82"/>
    </row>
    <row r="118" spans="1:17" s="14" customFormat="1" ht="13.5" thickBot="1">
      <c r="A118" s="322"/>
      <c r="B118" s="2"/>
      <c r="C118" s="2"/>
      <c r="D118" s="2"/>
      <c r="F118" s="271"/>
      <c r="G118" s="246"/>
      <c r="H118"/>
      <c r="I118"/>
      <c r="K118" s="318"/>
      <c r="L118" s="423"/>
      <c r="M118" s="482"/>
      <c r="N118" s="483"/>
      <c r="P118" s="244"/>
      <c r="Q118" s="82"/>
    </row>
    <row r="119" spans="2:14" ht="12.75">
      <c r="B119" s="328"/>
      <c r="C119" s="329"/>
      <c r="D119" s="329"/>
      <c r="E119" s="232"/>
      <c r="F119" s="272" t="s">
        <v>252</v>
      </c>
      <c r="G119" s="247"/>
      <c r="H119" s="23"/>
      <c r="I119" s="24"/>
      <c r="M119" s="474"/>
      <c r="N119" s="484"/>
    </row>
    <row r="120" spans="1:14" ht="31.5">
      <c r="A120" s="322">
        <f>A116+1</f>
        <v>14</v>
      </c>
      <c r="B120" s="330"/>
      <c r="C120" s="523" t="str">
        <f>questionnaire!C229</f>
        <v>Y a-t-il des vannes d'équilibrage au départ des différents circuits, et des tés de réglage sur les radiateurs ?</v>
      </c>
      <c r="D120" s="523"/>
      <c r="E120" s="114"/>
      <c r="F120" s="266">
        <v>6</v>
      </c>
      <c r="G120" s="254" t="str">
        <f>INDEX(Ameliorations_reseau_emissionBNC,F120)</f>
        <v>Equiper le départ des différents circuits de vannes d'équilibrage et les radiateurs/ventilo-convecteurs de tés de réglage, puis équilibrer l'installation.</v>
      </c>
      <c r="H120" s="68"/>
      <c r="I120" s="116"/>
      <c r="K120" s="319">
        <v>0</v>
      </c>
      <c r="L120" s="426">
        <f>IF(K120=2,questionnaire!S229,IF(K120=3,0.05,0))</f>
        <v>0</v>
      </c>
      <c r="M120" s="482">
        <f>IF(K120=0,0,1)</f>
        <v>0</v>
      </c>
      <c r="N120" s="483">
        <f>IF(AND(K120=2,L120=0),1,0)</f>
        <v>0</v>
      </c>
    </row>
    <row r="121" spans="2:14" ht="13.5" thickBot="1">
      <c r="B121" s="331"/>
      <c r="C121" s="332"/>
      <c r="D121" s="332"/>
      <c r="E121" s="233"/>
      <c r="F121" s="277"/>
      <c r="G121" s="253"/>
      <c r="H121" s="28"/>
      <c r="I121" s="29"/>
      <c r="K121" s="302"/>
      <c r="N121" s="483"/>
    </row>
    <row r="122" spans="13:17" ht="12.75">
      <c r="M122" s="482"/>
      <c r="N122" s="483"/>
      <c r="P122" s="245"/>
      <c r="Q122" s="114"/>
    </row>
    <row r="123" spans="1:17" s="14" customFormat="1" ht="13.5" thickBot="1">
      <c r="A123" s="327"/>
      <c r="B123" s="37"/>
      <c r="C123" s="37"/>
      <c r="D123" s="37"/>
      <c r="E123" s="68"/>
      <c r="F123" s="271"/>
      <c r="G123" s="246"/>
      <c r="H123" s="4"/>
      <c r="I123" s="4"/>
      <c r="K123" s="318"/>
      <c r="L123" s="423"/>
      <c r="M123" s="479"/>
      <c r="N123" s="483"/>
      <c r="P123" s="244"/>
      <c r="Q123" s="82"/>
    </row>
    <row r="124" spans="2:14" ht="18.75" thickBot="1">
      <c r="B124" s="324" t="s">
        <v>117</v>
      </c>
      <c r="C124" s="325"/>
      <c r="D124" s="326"/>
      <c r="F124" s="284"/>
      <c r="H124" s="4"/>
      <c r="N124" s="483"/>
    </row>
    <row r="125" spans="1:17" s="4" customFormat="1" ht="13.5" thickBot="1">
      <c r="A125" s="322"/>
      <c r="B125" s="2"/>
      <c r="C125" s="2"/>
      <c r="D125" s="2"/>
      <c r="E125" s="14"/>
      <c r="F125" s="271"/>
      <c r="G125" s="246"/>
      <c r="I125"/>
      <c r="K125" s="302"/>
      <c r="L125" s="425"/>
      <c r="M125" s="474"/>
      <c r="N125" s="484"/>
      <c r="P125" s="244"/>
      <c r="Q125" s="82"/>
    </row>
    <row r="126" spans="1:17" s="68" customFormat="1" ht="12.75">
      <c r="A126" s="322"/>
      <c r="B126" s="328"/>
      <c r="C126" s="329"/>
      <c r="D126" s="329"/>
      <c r="E126" s="232"/>
      <c r="F126" s="272"/>
      <c r="G126" s="247"/>
      <c r="H126" s="23"/>
      <c r="I126" s="24"/>
      <c r="K126" s="321"/>
      <c r="L126" s="427"/>
      <c r="M126" s="479"/>
      <c r="N126" s="483"/>
      <c r="P126" s="244"/>
      <c r="Q126" s="82"/>
    </row>
    <row r="127" spans="1:14" ht="21">
      <c r="A127" s="322">
        <f>A120+1</f>
        <v>15</v>
      </c>
      <c r="B127" s="330"/>
      <c r="C127" s="346" t="str">
        <f>questionnaire!C241</f>
        <v>L'utilisation de radiateurs électriques d'appoint est-elle évitée ?</v>
      </c>
      <c r="D127" s="37"/>
      <c r="E127" s="115"/>
      <c r="F127" s="266">
        <v>8</v>
      </c>
      <c r="G127" s="254" t="str">
        <f>INDEX(Ameliorations_reseau_emissionBNC,F127)</f>
        <v>Remédier à l'inconfort thermique dans les locaux où des radiateurs électriques d'appoint sont utilisés.</v>
      </c>
      <c r="H127" s="68"/>
      <c r="I127" s="116"/>
      <c r="K127" s="319">
        <v>0</v>
      </c>
      <c r="L127" s="426">
        <f>IF(K127=2,questionnaire!S241,IF(K127=3,0.05,0))</f>
        <v>0</v>
      </c>
      <c r="M127" s="482">
        <f>IF(K127=0,0,1)</f>
        <v>0</v>
      </c>
      <c r="N127" s="483">
        <f>IF(AND(K127=2,L127=0),1,0)</f>
        <v>0</v>
      </c>
    </row>
    <row r="128" spans="1:17" s="14" customFormat="1" ht="13.5" thickBot="1">
      <c r="A128" s="322"/>
      <c r="B128" s="331"/>
      <c r="C128" s="332"/>
      <c r="D128" s="332"/>
      <c r="E128" s="233"/>
      <c r="F128" s="277"/>
      <c r="G128" s="253"/>
      <c r="H128" s="28"/>
      <c r="I128" s="29"/>
      <c r="K128" s="318"/>
      <c r="L128" s="423"/>
      <c r="M128" s="479"/>
      <c r="N128" s="483"/>
      <c r="P128" s="244"/>
      <c r="Q128" s="82"/>
    </row>
    <row r="129" spans="1:17" s="14" customFormat="1" ht="13.5" thickBot="1">
      <c r="A129" s="322"/>
      <c r="B129" s="2"/>
      <c r="C129" s="2"/>
      <c r="D129" s="2"/>
      <c r="F129" s="271"/>
      <c r="G129" s="246"/>
      <c r="H129"/>
      <c r="I129"/>
      <c r="K129" s="318"/>
      <c r="L129" s="423"/>
      <c r="M129" s="474"/>
      <c r="N129" s="484"/>
      <c r="P129" s="244"/>
      <c r="Q129" s="82"/>
    </row>
    <row r="130" spans="2:14" ht="12.75">
      <c r="B130" s="328"/>
      <c r="C130" s="329"/>
      <c r="D130" s="329"/>
      <c r="E130" s="232"/>
      <c r="F130" s="272"/>
      <c r="G130" s="247"/>
      <c r="H130" s="23"/>
      <c r="I130" s="24"/>
      <c r="M130" s="474"/>
      <c r="N130" s="484"/>
    </row>
    <row r="131" spans="1:14" ht="42">
      <c r="A131" s="322">
        <f>A127+1</f>
        <v>16</v>
      </c>
      <c r="B131" s="330"/>
      <c r="C131" s="523" t="str">
        <f>questionnaire!C248</f>
        <v>Si vous avez des grands espaces (grands halls, ateliers, atrium,...), sont-ils chauffés par rayonnement et non par air chaud ?</v>
      </c>
      <c r="D131" s="523"/>
      <c r="E131" s="114"/>
      <c r="F131" s="266">
        <v>4</v>
      </c>
      <c r="G131" s="254" t="str">
        <f>INDEX(Ameliorations_reseau_emissionBNC,F131)</f>
        <v>Remplacer le système de chauffage par air chaud des grands espaces (grands halls, ateliers, atrium,...) par un système par rayonnement (par le sol, panneaux radiatifs,…)</v>
      </c>
      <c r="H131" s="68"/>
      <c r="I131" s="116"/>
      <c r="K131" s="319">
        <v>0</v>
      </c>
      <c r="L131" s="426">
        <f>IF(K131=2,questionnaire!S248,IF(K131=3,0.05,0))</f>
        <v>0</v>
      </c>
      <c r="M131" s="482">
        <f>IF(K131=0,0,1)</f>
        <v>0</v>
      </c>
      <c r="N131" s="483">
        <f>IF(AND(K131=2,L131=0),1,0)</f>
        <v>0</v>
      </c>
    </row>
    <row r="132" spans="2:14" ht="13.5" thickBot="1">
      <c r="B132" s="331"/>
      <c r="C132" s="332"/>
      <c r="D132" s="332"/>
      <c r="E132" s="233"/>
      <c r="F132" s="277"/>
      <c r="G132" s="253"/>
      <c r="H132" s="28"/>
      <c r="I132" s="29"/>
      <c r="K132" s="302"/>
      <c r="M132" s="482"/>
      <c r="N132" s="483"/>
    </row>
    <row r="133" spans="13:14" ht="13.5" thickBot="1">
      <c r="M133" s="474"/>
      <c r="N133" s="484"/>
    </row>
    <row r="134" spans="1:17" s="68" customFormat="1" ht="12.75">
      <c r="A134" s="322"/>
      <c r="B134" s="328"/>
      <c r="C134" s="329"/>
      <c r="D134" s="329"/>
      <c r="E134" s="232"/>
      <c r="F134" s="272"/>
      <c r="G134" s="247"/>
      <c r="H134" s="23"/>
      <c r="I134" s="24"/>
      <c r="K134" s="321"/>
      <c r="L134" s="427"/>
      <c r="M134" s="474"/>
      <c r="N134" s="484"/>
      <c r="P134" s="244"/>
      <c r="Q134" s="82"/>
    </row>
    <row r="135" spans="1:14" ht="17.25" customHeight="1">
      <c r="A135" s="322">
        <f>A131+1</f>
        <v>17</v>
      </c>
      <c r="B135" s="330"/>
      <c r="C135" s="393" t="s">
        <v>124</v>
      </c>
      <c r="D135" s="111"/>
      <c r="E135" s="115"/>
      <c r="F135" s="267"/>
      <c r="G135" s="255"/>
      <c r="H135" s="68"/>
      <c r="I135" s="116"/>
      <c r="L135" s="426"/>
      <c r="M135" s="485"/>
      <c r="N135" s="484"/>
    </row>
    <row r="136" spans="1:17" s="14" customFormat="1" ht="12.75">
      <c r="A136" s="322"/>
      <c r="B136" s="330"/>
      <c r="C136" s="537"/>
      <c r="D136" s="537"/>
      <c r="E136" s="237"/>
      <c r="F136" s="279"/>
      <c r="G136" s="270"/>
      <c r="H136" s="111"/>
      <c r="I136" s="26"/>
      <c r="K136" s="318"/>
      <c r="L136" s="423"/>
      <c r="M136" s="482"/>
      <c r="N136" s="483"/>
      <c r="P136" s="245"/>
      <c r="Q136" s="114"/>
    </row>
    <row r="137" spans="1:14" ht="25.5" customHeight="1">
      <c r="A137" s="322" t="str">
        <f>CONCATENATE(A$135,".",1)</f>
        <v>17.1</v>
      </c>
      <c r="B137" s="330"/>
      <c r="C137" s="106" t="str">
        <f>questionnaire!C258</f>
        <v>Les murs extérieurs derrière les radiateurs sont-ils opaques ? (pas d'allège vitrée)</v>
      </c>
      <c r="E137" s="114"/>
      <c r="F137" s="266">
        <v>7</v>
      </c>
      <c r="G137" s="254" t="str">
        <f>INDEX(Ameliorations_reseau_emissionBNC,F137)</f>
        <v>Remplacer les allèges vitrées par des allèges opaques isolées</v>
      </c>
      <c r="H137" s="114"/>
      <c r="I137" s="116"/>
      <c r="K137" s="319">
        <v>0</v>
      </c>
      <c r="L137" s="426">
        <f>IF(K137=2,questionnaire!S258,IF(K137=3,0.05,0))</f>
        <v>0</v>
      </c>
      <c r="M137" s="482">
        <f>IF(K137=0,0,1)</f>
        <v>0</v>
      </c>
      <c r="N137" s="483">
        <f>IF(AND(K137=2,L137=0),1,0)</f>
        <v>0</v>
      </c>
    </row>
    <row r="138" spans="1:14" ht="6.75" customHeight="1">
      <c r="A138" s="327"/>
      <c r="B138" s="330"/>
      <c r="C138" s="37"/>
      <c r="D138" s="37"/>
      <c r="E138" s="68"/>
      <c r="H138" s="68"/>
      <c r="I138" s="116"/>
      <c r="M138" s="482"/>
      <c r="N138" s="483"/>
    </row>
    <row r="139" spans="1:14" ht="30.75" customHeight="1">
      <c r="A139" s="322" t="str">
        <f>CONCATENATE(A$135,".",2)</f>
        <v>17.2</v>
      </c>
      <c r="B139" s="330"/>
      <c r="C139" s="106" t="str">
        <f>questionnaire!C263</f>
        <v>Les murs extérieurs derrière les radiateurs sont-ils isolés ?</v>
      </c>
      <c r="E139" s="114"/>
      <c r="F139" s="266">
        <v>9</v>
      </c>
      <c r="G139" s="254" t="str">
        <f>INDEX(Ameliorations_reseau_emissionBNC,F139)</f>
        <v>Placer un film isolant/réfléchissant derrière les radiateurs placés contre un mur extérieur</v>
      </c>
      <c r="H139" s="114"/>
      <c r="I139" s="116"/>
      <c r="K139" s="319">
        <v>0</v>
      </c>
      <c r="L139" s="426">
        <f>IF(K139=2,questionnaire!S263,IF(K139=3,0.05,0))</f>
        <v>0</v>
      </c>
      <c r="M139" s="482">
        <f>IF(K139=0,0,1)</f>
        <v>0</v>
      </c>
      <c r="N139" s="483">
        <f>IF(AND(K139=2,L139=0),1,0)</f>
        <v>0</v>
      </c>
    </row>
    <row r="140" spans="1:17" s="14" customFormat="1" ht="5.25" customHeight="1" thickBot="1">
      <c r="A140" s="322"/>
      <c r="B140" s="331"/>
      <c r="C140" s="332"/>
      <c r="D140" s="332"/>
      <c r="E140" s="233"/>
      <c r="F140" s="277"/>
      <c r="G140" s="253"/>
      <c r="H140" s="28"/>
      <c r="I140" s="29"/>
      <c r="K140" s="318"/>
      <c r="L140" s="423"/>
      <c r="M140" s="482"/>
      <c r="N140" s="483"/>
      <c r="P140" s="244"/>
      <c r="Q140" s="82"/>
    </row>
    <row r="141" spans="1:17" s="14" customFormat="1" ht="5.25" customHeight="1" thickBot="1">
      <c r="A141" s="322"/>
      <c r="B141" s="330"/>
      <c r="C141" s="37"/>
      <c r="D141" s="37"/>
      <c r="E141" s="68"/>
      <c r="F141" s="245"/>
      <c r="G141" s="246"/>
      <c r="H141" s="4"/>
      <c r="I141" s="26"/>
      <c r="K141" s="318"/>
      <c r="L141" s="423"/>
      <c r="M141" s="474"/>
      <c r="N141" s="484"/>
      <c r="P141" s="244"/>
      <c r="Q141" s="82"/>
    </row>
    <row r="142" spans="2:15" ht="12.75">
      <c r="B142" s="22"/>
      <c r="C142" s="420"/>
      <c r="D142" s="420"/>
      <c r="E142" s="420"/>
      <c r="F142" s="420"/>
      <c r="G142" s="420"/>
      <c r="H142" s="420"/>
      <c r="I142" s="24"/>
      <c r="J142" s="4"/>
      <c r="K142" s="302"/>
      <c r="L142" s="8"/>
      <c r="M142" s="474"/>
      <c r="N142" s="484"/>
      <c r="O142" s="4"/>
    </row>
    <row r="143" spans="1:15" ht="42">
      <c r="A143" s="322">
        <f>A135+1</f>
        <v>18</v>
      </c>
      <c r="B143" s="25"/>
      <c r="C143" s="37"/>
      <c r="D143" s="417" t="s">
        <v>128</v>
      </c>
      <c r="E143" s="37"/>
      <c r="F143" s="266">
        <v>10</v>
      </c>
      <c r="G143" s="254" t="str">
        <f>INDEX(Ameliorations_reseau_emissionBNC,F143)</f>
        <v>Sensibiliser les occupants à éviter d'encombrer les radiateurs</v>
      </c>
      <c r="H143" s="37"/>
      <c r="I143" s="421"/>
      <c r="J143" s="4"/>
      <c r="K143" s="302">
        <v>0</v>
      </c>
      <c r="L143" s="426">
        <f>IF(K143=2,questionnaire!S269,IF(K143=3,0.05,0))</f>
        <v>0</v>
      </c>
      <c r="M143" s="482">
        <f>IF(K143=0,0,1)</f>
        <v>0</v>
      </c>
      <c r="N143" s="483">
        <f>IF(AND(K143=2,L143=0),1,0)</f>
        <v>0</v>
      </c>
      <c r="O143" s="4"/>
    </row>
    <row r="144" spans="2:15" ht="13.5" thickBot="1">
      <c r="B144" s="27"/>
      <c r="C144" s="332"/>
      <c r="D144" s="332"/>
      <c r="E144" s="332"/>
      <c r="F144" s="332"/>
      <c r="G144" s="332"/>
      <c r="H144" s="332"/>
      <c r="I144" s="422"/>
      <c r="J144" s="4"/>
      <c r="K144" s="302"/>
      <c r="L144" s="8"/>
      <c r="M144" s="482"/>
      <c r="N144" s="483"/>
      <c r="O144" s="4"/>
    </row>
    <row r="145" spans="8:14" ht="12.75">
      <c r="H145" s="4"/>
      <c r="N145" s="483"/>
    </row>
    <row r="146" spans="2:14" ht="12.75">
      <c r="B146" s="37"/>
      <c r="C146" s="37"/>
      <c r="D146" s="37"/>
      <c r="E146" s="68"/>
      <c r="H146" s="4"/>
      <c r="I146" s="4"/>
      <c r="N146" s="483"/>
    </row>
    <row r="147" spans="1:17" s="14" customFormat="1" ht="13.5" thickBot="1">
      <c r="A147" s="322"/>
      <c r="B147" s="2"/>
      <c r="C147" s="2"/>
      <c r="D147" s="2"/>
      <c r="F147" s="284"/>
      <c r="G147" s="246"/>
      <c r="H147"/>
      <c r="I147"/>
      <c r="K147" s="318"/>
      <c r="L147" s="423"/>
      <c r="M147" s="474"/>
      <c r="N147" s="484"/>
      <c r="P147" s="244"/>
      <c r="Q147" s="82"/>
    </row>
    <row r="148" spans="2:14" ht="18.75" thickBot="1">
      <c r="B148" s="324" t="s">
        <v>9</v>
      </c>
      <c r="C148" s="325"/>
      <c r="D148" s="326"/>
      <c r="H148" s="4"/>
      <c r="M148" s="474"/>
      <c r="N148" s="484"/>
    </row>
    <row r="149" spans="3:14" ht="19.5">
      <c r="C149" s="347"/>
      <c r="D149" s="323"/>
      <c r="H149" s="4"/>
      <c r="M149" s="482"/>
      <c r="N149" s="483"/>
    </row>
    <row r="150" spans="1:17" s="14" customFormat="1" ht="18">
      <c r="A150" s="327"/>
      <c r="B150" s="341" t="s">
        <v>30</v>
      </c>
      <c r="C150" s="342"/>
      <c r="D150" s="343"/>
      <c r="E150" s="68"/>
      <c r="F150" s="271"/>
      <c r="G150" s="246"/>
      <c r="H150" s="68"/>
      <c r="I150" s="68"/>
      <c r="K150" s="321"/>
      <c r="L150" s="423"/>
      <c r="M150" s="482"/>
      <c r="N150" s="483"/>
      <c r="P150" s="244"/>
      <c r="Q150" s="82"/>
    </row>
    <row r="151" spans="1:17" s="14" customFormat="1" ht="13.5" thickBot="1">
      <c r="A151" s="322"/>
      <c r="B151" s="37"/>
      <c r="C151" s="37"/>
      <c r="D151" s="37"/>
      <c r="E151" s="68"/>
      <c r="F151" s="271"/>
      <c r="G151" s="246"/>
      <c r="H151" s="4"/>
      <c r="I151" s="4"/>
      <c r="K151" s="321"/>
      <c r="L151" s="423"/>
      <c r="M151" s="479"/>
      <c r="N151" s="483"/>
      <c r="P151" s="244"/>
      <c r="Q151" s="82"/>
    </row>
    <row r="152" spans="1:17" s="14" customFormat="1" ht="12.75">
      <c r="A152" s="322"/>
      <c r="B152" s="328"/>
      <c r="C152" s="329"/>
      <c r="D152" s="329"/>
      <c r="E152" s="232"/>
      <c r="F152" s="272"/>
      <c r="G152" s="247"/>
      <c r="H152" s="23"/>
      <c r="I152" s="24"/>
      <c r="K152" s="318"/>
      <c r="L152" s="423"/>
      <c r="M152" s="479"/>
      <c r="N152" s="483"/>
      <c r="P152" s="245"/>
      <c r="Q152" s="114"/>
    </row>
    <row r="153" spans="1:17" s="14" customFormat="1" ht="23.25" customHeight="1">
      <c r="A153" s="322">
        <f>A143+1</f>
        <v>19</v>
      </c>
      <c r="B153" s="330"/>
      <c r="C153" s="106" t="str">
        <f>questionnaire!C282</f>
        <v>La régulation du chauffage a-t-elle un programme de jour et un programme de nuit ?</v>
      </c>
      <c r="D153" s="37"/>
      <c r="E153" s="68"/>
      <c r="F153" s="267">
        <v>1</v>
      </c>
      <c r="G153" s="255" t="str">
        <f>INDEX(Ameliorations_gestion_chauffBNC,F153)</f>
        <v>Arrêter l'installation de chauffage la nuit et le week-end</v>
      </c>
      <c r="H153" s="68"/>
      <c r="I153" s="116"/>
      <c r="K153" s="318">
        <v>0</v>
      </c>
      <c r="L153" s="426">
        <f>IF(K153=2,questionnaire!S282,IF(K153=3,0.05,0))</f>
        <v>0</v>
      </c>
      <c r="M153" s="482">
        <f>IF(K153=0,0,1)</f>
        <v>0</v>
      </c>
      <c r="N153" s="483">
        <f>IF(AND(K153=2,L153=0),1,0)</f>
        <v>0</v>
      </c>
      <c r="P153" s="244"/>
      <c r="Q153" s="82"/>
    </row>
    <row r="154" spans="1:17" s="14" customFormat="1" ht="12.75">
      <c r="A154" s="322"/>
      <c r="B154" s="330"/>
      <c r="C154" s="106" t="s">
        <v>39</v>
      </c>
      <c r="D154" s="37"/>
      <c r="E154" s="68"/>
      <c r="F154" s="271" t="s">
        <v>253</v>
      </c>
      <c r="G154" s="246"/>
      <c r="H154" s="68"/>
      <c r="I154" s="116"/>
      <c r="K154" s="318"/>
      <c r="L154" s="423"/>
      <c r="M154" s="480"/>
      <c r="N154" s="486"/>
      <c r="P154" s="244"/>
      <c r="Q154" s="82"/>
    </row>
    <row r="155" spans="1:17" s="14" customFormat="1" ht="12.75">
      <c r="A155" s="322"/>
      <c r="B155" s="330"/>
      <c r="C155" s="106"/>
      <c r="D155" s="37"/>
      <c r="E155" s="68"/>
      <c r="G155" s="271" t="s">
        <v>254</v>
      </c>
      <c r="H155" s="68"/>
      <c r="I155" s="116"/>
      <c r="K155" s="318"/>
      <c r="L155" s="423"/>
      <c r="M155" s="474"/>
      <c r="N155" s="484"/>
      <c r="P155" s="244"/>
      <c r="Q155" s="82"/>
    </row>
    <row r="156" spans="1:17" ht="21">
      <c r="A156" s="322" t="str">
        <f>CONCATENATE(A$153,".",1)</f>
        <v>19.1</v>
      </c>
      <c r="B156" s="330"/>
      <c r="D156" s="106" t="str">
        <f>questionnaire!D287</f>
        <v>le ralenti de nuit est-il contrôlé par une sonde d'ambiance ?</v>
      </c>
      <c r="E156" s="115"/>
      <c r="F156" s="267">
        <v>2</v>
      </c>
      <c r="G156" s="255" t="str">
        <f>INDEX(Ameliorations_gestion_chauffBNC,F156)</f>
        <v>Pratiquer un ralenti par coupure complète de l'installation, contrôlée par thermostat d'ambiance</v>
      </c>
      <c r="H156" s="68"/>
      <c r="I156" s="116"/>
      <c r="K156" s="319">
        <v>0</v>
      </c>
      <c r="L156" s="426">
        <f>IF(K156=2,questionnaire!S287,IF(K156=3,0.05,0))</f>
        <v>0</v>
      </c>
      <c r="M156" s="482">
        <f>IF(K156=0,0,1)</f>
        <v>0</v>
      </c>
      <c r="N156" s="483">
        <f>IF(AND(K156=2,L156=0),1,0)</f>
        <v>0</v>
      </c>
      <c r="P156" s="245"/>
      <c r="Q156" s="114"/>
    </row>
    <row r="157" spans="1:17" s="4" customFormat="1" ht="52.5" customHeight="1">
      <c r="A157" s="322" t="str">
        <f>CONCATENATE(A$153,".",2)</f>
        <v>19.2</v>
      </c>
      <c r="B157" s="330"/>
      <c r="C157" s="37"/>
      <c r="D157" s="106" t="str">
        <f>questionnaire!D292</f>
        <v>Le nombre de jours programmables des horloges correspond-il au mode d'occupation des locaux ?</v>
      </c>
      <c r="E157" s="200"/>
      <c r="F157" s="267">
        <v>4</v>
      </c>
      <c r="G157" s="255" t="str">
        <f>INDEX(Ameliorations_gestion_chauffBNC,F157)</f>
        <v>Remplacer l'horloge afin de pouvoir programmer le fonctionnement de l'installation conformément à l'utilisation du bâtiment (en fonction du jour de la semaine, des jours de congé,…)</v>
      </c>
      <c r="H157" s="68"/>
      <c r="I157" s="116"/>
      <c r="K157" s="302">
        <v>0</v>
      </c>
      <c r="L157" s="426">
        <f>IF(K157=2,questionnaire!S292,IF(K157=3,0.05,0))</f>
        <v>0</v>
      </c>
      <c r="M157" s="482">
        <f>IF(K157=0,0,1)</f>
        <v>0</v>
      </c>
      <c r="N157" s="483">
        <f>IF(AND(K157=2,L157=0),1,0)</f>
        <v>0</v>
      </c>
      <c r="P157" s="244"/>
      <c r="Q157" s="82"/>
    </row>
    <row r="158" spans="1:14" ht="21.75" customHeight="1">
      <c r="A158" s="322" t="str">
        <f>CONCATENATE(A$153,".",3)</f>
        <v>19.3</v>
      </c>
      <c r="B158" s="330"/>
      <c r="C158" s="106"/>
      <c r="D158" s="106" t="str">
        <f>questionnaire!D299</f>
        <v>Les horaires appliqués correspondent-ils réellement à l'occupation ?</v>
      </c>
      <c r="E158" s="115"/>
      <c r="F158" s="267">
        <v>8</v>
      </c>
      <c r="G158" s="255" t="str">
        <f>INDEX(Ameliorations_gestion_chauffBNC,F158)</f>
        <v>Adapter les horaires de la régulation aux horaires d'occupation réels du bâtiment</v>
      </c>
      <c r="H158" s="68"/>
      <c r="I158" s="116"/>
      <c r="K158" s="319">
        <v>0</v>
      </c>
      <c r="L158" s="426">
        <f>IF(K158=2,questionnaire!S299,IF(K158=3,0.05,0))</f>
        <v>0</v>
      </c>
      <c r="M158" s="482">
        <f>IF(K158=0,0,1)</f>
        <v>0</v>
      </c>
      <c r="N158" s="483">
        <f>IF(AND(K158=2,L158=0),1,0)</f>
        <v>0</v>
      </c>
    </row>
    <row r="159" spans="1:17" s="14" customFormat="1" ht="13.5" thickBot="1">
      <c r="A159" s="327"/>
      <c r="B159" s="331"/>
      <c r="C159" s="332"/>
      <c r="D159" s="332"/>
      <c r="E159" s="233"/>
      <c r="F159" s="277"/>
      <c r="G159" s="253"/>
      <c r="H159" s="28"/>
      <c r="I159" s="29"/>
      <c r="K159" s="318"/>
      <c r="L159" s="423"/>
      <c r="M159" s="485"/>
      <c r="N159" s="483"/>
      <c r="P159" s="265"/>
      <c r="Q159" s="236"/>
    </row>
    <row r="160" spans="1:17" s="14" customFormat="1" ht="13.5" thickBot="1">
      <c r="A160" s="322"/>
      <c r="B160" s="2"/>
      <c r="C160" s="2"/>
      <c r="D160" s="2"/>
      <c r="F160" s="271"/>
      <c r="G160" s="246"/>
      <c r="H160"/>
      <c r="I160"/>
      <c r="K160" s="318"/>
      <c r="L160" s="423"/>
      <c r="M160" s="479"/>
      <c r="N160" s="483"/>
      <c r="P160" s="244"/>
      <c r="Q160" s="82"/>
    </row>
    <row r="161" spans="2:14" ht="12.75">
      <c r="B161" s="328"/>
      <c r="C161" s="329"/>
      <c r="D161" s="329"/>
      <c r="E161" s="232"/>
      <c r="F161" s="272"/>
      <c r="G161" s="247"/>
      <c r="H161" s="23"/>
      <c r="I161" s="24"/>
      <c r="N161" s="483"/>
    </row>
    <row r="162" spans="1:17" ht="19.5" customHeight="1">
      <c r="A162" s="322">
        <f>A153+1</f>
        <v>20</v>
      </c>
      <c r="B162" s="330"/>
      <c r="C162" s="106" t="str">
        <f>questionnaire!C305</f>
        <v>Les circulateurs sont-ils arrêtés lorsqu'il n'y a pas de besoins de chauffage ?</v>
      </c>
      <c r="D162" s="37"/>
      <c r="E162" s="115"/>
      <c r="F162" s="267">
        <v>5</v>
      </c>
      <c r="G162" s="255" t="str">
        <f>INDEX(Ameliorations_gestion_chauffBNC,F162)</f>
        <v>Arrêter les circulateurs lorsqu'il n'y a pas de besoin de chauffage </v>
      </c>
      <c r="H162" s="68"/>
      <c r="I162" s="116"/>
      <c r="K162" s="319">
        <v>0</v>
      </c>
      <c r="L162" s="426">
        <f>IF(K162=2,questionnaire!S305,IF(K162=3,0.05,0))</f>
        <v>0</v>
      </c>
      <c r="M162" s="482">
        <f>IF(K162=0,0,1)</f>
        <v>0</v>
      </c>
      <c r="N162" s="483">
        <f>IF(AND(K162=2,L162=0),1,0)</f>
        <v>0</v>
      </c>
      <c r="P162" s="245"/>
      <c r="Q162" s="114"/>
    </row>
    <row r="163" spans="2:14" ht="13.5" thickBot="1">
      <c r="B163" s="331"/>
      <c r="C163" s="332"/>
      <c r="D163" s="332"/>
      <c r="E163" s="233"/>
      <c r="F163" s="277"/>
      <c r="G163" s="253"/>
      <c r="H163" s="28"/>
      <c r="I163" s="29"/>
      <c r="K163" s="302"/>
      <c r="M163" s="474"/>
      <c r="N163" s="484"/>
    </row>
    <row r="164" spans="2:14" ht="12.75">
      <c r="B164" s="37"/>
      <c r="C164" s="37"/>
      <c r="D164" s="37"/>
      <c r="E164" s="68"/>
      <c r="H164" s="4"/>
      <c r="I164" s="4"/>
      <c r="N164" s="483"/>
    </row>
    <row r="165" spans="1:17" s="4" customFormat="1" ht="13.5" thickBot="1">
      <c r="A165" s="322"/>
      <c r="B165" s="37"/>
      <c r="C165" s="37"/>
      <c r="D165" s="37"/>
      <c r="E165" s="68"/>
      <c r="F165" s="271"/>
      <c r="G165" s="246"/>
      <c r="K165" s="302"/>
      <c r="L165" s="425"/>
      <c r="M165" s="479"/>
      <c r="N165" s="483"/>
      <c r="P165" s="244"/>
      <c r="Q165" s="82"/>
    </row>
    <row r="166" spans="1:17" s="14" customFormat="1" ht="12.75">
      <c r="A166" s="322"/>
      <c r="B166" s="328"/>
      <c r="C166" s="329"/>
      <c r="D166" s="329"/>
      <c r="E166" s="232"/>
      <c r="F166" s="272"/>
      <c r="G166" s="247"/>
      <c r="H166" s="23"/>
      <c r="I166" s="24"/>
      <c r="K166" s="318"/>
      <c r="L166" s="423"/>
      <c r="M166" s="482"/>
      <c r="N166" s="483"/>
      <c r="P166" s="244"/>
      <c r="Q166" s="82"/>
    </row>
    <row r="167" spans="1:17" s="14" customFormat="1" ht="12.75">
      <c r="A167" s="322">
        <f>A162+1</f>
        <v>21</v>
      </c>
      <c r="B167" s="330"/>
      <c r="C167" s="348" t="s">
        <v>75</v>
      </c>
      <c r="D167" s="37"/>
      <c r="E167" s="68"/>
      <c r="F167" s="271"/>
      <c r="G167" s="246"/>
      <c r="H167" s="4"/>
      <c r="I167" s="26"/>
      <c r="K167" s="318"/>
      <c r="L167" s="423"/>
      <c r="M167" s="474"/>
      <c r="N167" s="484"/>
      <c r="P167" s="244"/>
      <c r="Q167" s="82"/>
    </row>
    <row r="168" spans="1:17" s="14" customFormat="1" ht="24.75" customHeight="1">
      <c r="A168" s="322" t="str">
        <f>CONCATENATE(A$167,".",1)</f>
        <v>21.1</v>
      </c>
      <c r="B168" s="330"/>
      <c r="C168" s="523" t="str">
        <f>questionnaire!C313</f>
        <v>Si la chaudière n'est pas nécessaire à la préparation de l'eau chaude sanitaire, 
est-elle arrêtée en été ?</v>
      </c>
      <c r="D168" s="527"/>
      <c r="E168" s="115"/>
      <c r="F168" s="267">
        <v>16</v>
      </c>
      <c r="G168" s="255" t="str">
        <f>INDEX(Ameliorations_gestion_chauffBNC,F168)</f>
        <v>Arrêter la chaudière en été</v>
      </c>
      <c r="H168" s="68"/>
      <c r="I168" s="116"/>
      <c r="K168" s="318">
        <v>0</v>
      </c>
      <c r="L168" s="426">
        <f>IF(K168=2,questionnaire!S313,IF(K168=3,0.05,0))</f>
        <v>0</v>
      </c>
      <c r="M168" s="482">
        <f>IF(K168=0,0,1)</f>
        <v>0</v>
      </c>
      <c r="N168" s="483">
        <f>IF(AND(K168=2,L168=0),1,0)</f>
        <v>0</v>
      </c>
      <c r="P168" s="244"/>
      <c r="Q168" s="82"/>
    </row>
    <row r="169" spans="1:14" ht="29.25" customHeight="1">
      <c r="A169" s="322" t="str">
        <f>CONCATENATE(A$167,".",2)</f>
        <v>21.2</v>
      </c>
      <c r="B169" s="330"/>
      <c r="C169" s="523" t="s">
        <v>76</v>
      </c>
      <c r="D169" s="527"/>
      <c r="E169" s="115"/>
      <c r="F169" s="267">
        <v>15</v>
      </c>
      <c r="G169" s="255" t="str">
        <f>INDEX(Ameliorations_gestion_chauffBNC,F169)</f>
        <v>Réguler l'aquastat pour qu'en été, en dehors des périodes de préparation de l'eau chaude sanitaire, la température de la chaudière retombe à 20°C</v>
      </c>
      <c r="H169" s="68"/>
      <c r="I169" s="116"/>
      <c r="K169" s="319">
        <v>0</v>
      </c>
      <c r="L169" s="426">
        <f>IF(K169=2,questionnaire!S319,IF(K169=3,0.05,0))</f>
        <v>0</v>
      </c>
      <c r="M169" s="482">
        <f>IF(K169=0,0,1)</f>
        <v>0</v>
      </c>
      <c r="N169" s="483">
        <f>IF(AND(K169=2,L169=0),1,0)</f>
        <v>0</v>
      </c>
    </row>
    <row r="170" spans="2:14" ht="13.5" thickBot="1">
      <c r="B170" s="331"/>
      <c r="C170" s="332"/>
      <c r="D170" s="332"/>
      <c r="E170" s="233"/>
      <c r="F170" s="277"/>
      <c r="G170" s="253"/>
      <c r="H170" s="28"/>
      <c r="I170" s="29"/>
      <c r="N170" s="483"/>
    </row>
    <row r="171" spans="1:14" ht="18">
      <c r="A171" s="327"/>
      <c r="B171" s="341" t="s">
        <v>33</v>
      </c>
      <c r="C171" s="342"/>
      <c r="D171" s="343"/>
      <c r="E171" s="68"/>
      <c r="H171" s="68"/>
      <c r="I171" s="68"/>
      <c r="N171" s="483"/>
    </row>
    <row r="172" spans="1:17" s="14" customFormat="1" ht="13.5" thickBot="1">
      <c r="A172" s="322"/>
      <c r="B172" s="2"/>
      <c r="C172" s="2"/>
      <c r="D172" s="2"/>
      <c r="F172" s="271"/>
      <c r="G172" s="246"/>
      <c r="H172"/>
      <c r="I172"/>
      <c r="K172" s="318"/>
      <c r="L172" s="423"/>
      <c r="M172" s="482"/>
      <c r="N172" s="483"/>
      <c r="P172" s="244"/>
      <c r="Q172" s="82"/>
    </row>
    <row r="173" spans="1:14" ht="12.75">
      <c r="A173" s="322">
        <f>A167+1</f>
        <v>22</v>
      </c>
      <c r="B173" s="328"/>
      <c r="C173" s="329"/>
      <c r="D173" s="329"/>
      <c r="E173" s="232"/>
      <c r="F173" s="272"/>
      <c r="G173" s="247"/>
      <c r="H173" s="23"/>
      <c r="I173" s="24"/>
      <c r="N173" s="483"/>
    </row>
    <row r="174" spans="1:17" ht="24" customHeight="1">
      <c r="A174" s="322" t="str">
        <f>CONCATENATE(A$173,".",1)</f>
        <v>22.1</v>
      </c>
      <c r="B174" s="330"/>
      <c r="C174" s="106" t="str">
        <f>questionnaire!C330</f>
        <v>La température ambiante de consigne en chauffage est-elle respectée ? </v>
      </c>
      <c r="D174" s="37"/>
      <c r="E174" s="115"/>
      <c r="F174" s="267">
        <v>7</v>
      </c>
      <c r="G174" s="255" t="str">
        <f>INDEX(Ameliorations_gestion_chauffBNC,F174)</f>
        <v>Placer un thermostat d'ambiance de compensation</v>
      </c>
      <c r="H174" s="68"/>
      <c r="I174" s="116"/>
      <c r="K174" s="319">
        <v>0</v>
      </c>
      <c r="L174" s="426">
        <f>IF(K174=2,questionnaire!S330,IF(K174=3,0.05,0))</f>
        <v>0</v>
      </c>
      <c r="M174" s="482">
        <f>IF(K174=0,0,1)</f>
        <v>0</v>
      </c>
      <c r="N174" s="483">
        <f>IF(AND(K174=2,L174=0),1,0)</f>
        <v>0</v>
      </c>
      <c r="P174" s="245"/>
      <c r="Q174" s="114"/>
    </row>
    <row r="175" spans="2:17" ht="24" customHeight="1">
      <c r="B175" s="330"/>
      <c r="C175" s="106"/>
      <c r="D175" s="37"/>
      <c r="E175" s="115"/>
      <c r="F175" s="267">
        <v>11</v>
      </c>
      <c r="G175" s="255" t="str">
        <f>INDEX(Ameliorations_gestion_chauffBNC,F175)</f>
        <v>Corriger le réglage des courbes de chauffe </v>
      </c>
      <c r="H175" s="68"/>
      <c r="I175" s="116"/>
      <c r="L175" s="426"/>
      <c r="M175" s="474"/>
      <c r="N175" s="484"/>
      <c r="P175" s="245"/>
      <c r="Q175" s="114"/>
    </row>
    <row r="176" spans="2:17" ht="24" customHeight="1">
      <c r="B176" s="330"/>
      <c r="C176" s="106"/>
      <c r="D176" s="37"/>
      <c r="E176" s="115"/>
      <c r="F176" s="267">
        <v>12</v>
      </c>
      <c r="G176" s="255" t="str">
        <f>INDEX(Ameliorations_gestion_chauffBNC,F176)</f>
        <v>Placer des vannes thermostatiques dans les locaux où il y a surchauffe</v>
      </c>
      <c r="H176" s="68"/>
      <c r="I176" s="116"/>
      <c r="L176" s="426"/>
      <c r="N176" s="483"/>
      <c r="P176" s="245"/>
      <c r="Q176" s="114"/>
    </row>
    <row r="177" spans="2:14" ht="13.5" thickBot="1">
      <c r="B177" s="331"/>
      <c r="C177" s="332"/>
      <c r="D177" s="332"/>
      <c r="E177" s="233"/>
      <c r="F177" s="277"/>
      <c r="G177" s="253"/>
      <c r="H177" s="28"/>
      <c r="I177" s="29"/>
      <c r="K177" s="302"/>
      <c r="M177" s="482"/>
      <c r="N177" s="483"/>
    </row>
    <row r="178" spans="1:14" ht="34.5" customHeight="1">
      <c r="A178" s="322" t="str">
        <f>CONCATENATE(A$173,".",2)</f>
        <v>22.2</v>
      </c>
      <c r="B178" s="330"/>
      <c r="C178" s="523" t="str">
        <f>questionnaire!C336</f>
        <v>Est-elle adaptée à chaque zone ? (Bureau, atelier, couloirs, sanitaires, …)</v>
      </c>
      <c r="D178" s="527"/>
      <c r="E178" s="115"/>
      <c r="F178" s="267">
        <v>13</v>
      </c>
      <c r="G178" s="255" t="str">
        <f>INDEX(Ameliorations_gestion_chauffBNC,F178)</f>
        <v>Adapter les consignes des différentes zones thermiques homogènes à leur type d'occupation (passage, activité légère, activité importante,…)</v>
      </c>
      <c r="H178" s="68"/>
      <c r="I178" s="116"/>
      <c r="K178" s="319">
        <v>0</v>
      </c>
      <c r="L178" s="426">
        <f>IF(K178=2,questionnaire!S336,IF(K178=3,0.05,0))</f>
        <v>0</v>
      </c>
      <c r="M178" s="482">
        <f>IF(K178=0,0,1)</f>
        <v>0</v>
      </c>
      <c r="N178" s="483">
        <f>IF(AND(K178=2,L178=0),1,0)</f>
        <v>0</v>
      </c>
    </row>
    <row r="179" spans="2:14" ht="13.5" thickBot="1">
      <c r="B179" s="331"/>
      <c r="C179" s="332"/>
      <c r="D179" s="332"/>
      <c r="E179" s="233"/>
      <c r="F179" s="277"/>
      <c r="G179" s="253"/>
      <c r="H179" s="28"/>
      <c r="I179" s="29"/>
      <c r="N179" s="483"/>
    </row>
    <row r="180" spans="1:17" s="14" customFormat="1" ht="13.5" thickBot="1">
      <c r="A180" s="322"/>
      <c r="B180" s="2"/>
      <c r="C180" s="2"/>
      <c r="D180" s="2"/>
      <c r="F180" s="271"/>
      <c r="G180" s="246"/>
      <c r="H180"/>
      <c r="I180"/>
      <c r="K180" s="318"/>
      <c r="L180" s="423"/>
      <c r="M180" s="485"/>
      <c r="N180" s="483"/>
      <c r="P180" s="244"/>
      <c r="Q180" s="82"/>
    </row>
    <row r="181" spans="2:17" ht="12.75">
      <c r="B181" s="328"/>
      <c r="C181" s="329"/>
      <c r="D181" s="329"/>
      <c r="E181" s="232"/>
      <c r="F181" s="272"/>
      <c r="G181" s="247"/>
      <c r="H181" s="23"/>
      <c r="I181" s="24"/>
      <c r="M181" s="482"/>
      <c r="N181" s="483"/>
      <c r="P181" s="245"/>
      <c r="Q181" s="114"/>
    </row>
    <row r="182" spans="1:14" ht="31.5">
      <c r="A182" s="322">
        <f>A173+1</f>
        <v>23</v>
      </c>
      <c r="B182" s="330"/>
      <c r="C182" s="346" t="str">
        <f>questionnaire!C342</f>
        <v>L'emplacement des sondes d'ambiance est-il représentatif des besoins ?</v>
      </c>
      <c r="D182" s="37"/>
      <c r="E182" s="115"/>
      <c r="F182" s="267">
        <v>9</v>
      </c>
      <c r="G182" s="255" t="str">
        <f>INDEX(Ameliorations_gestion_chauffBNC,F182)</f>
        <v>Déplacer les sondes d'ambiance mal situées (à proximité d'une source chaude ou froide, trop près des fenêtres ou de la bouche de ventilation, ... )</v>
      </c>
      <c r="H182" s="68"/>
      <c r="I182" s="116"/>
      <c r="K182" s="319">
        <v>0</v>
      </c>
      <c r="L182" s="426">
        <f>IF(K182=2,questionnaire!S342,IF(K182=3,0.05,0))</f>
        <v>0</v>
      </c>
      <c r="M182" s="482">
        <f>IF(K182=0,0,1)</f>
        <v>0</v>
      </c>
      <c r="N182" s="483">
        <f>IF(AND(K182=2,L182=0),1,0)</f>
        <v>0</v>
      </c>
    </row>
    <row r="183" spans="1:17" s="14" customFormat="1" ht="13.5" thickBot="1">
      <c r="A183" s="322"/>
      <c r="B183" s="331"/>
      <c r="C183" s="332"/>
      <c r="D183" s="332"/>
      <c r="E183" s="233"/>
      <c r="F183" s="277"/>
      <c r="G183" s="253"/>
      <c r="H183" s="28"/>
      <c r="I183" s="29"/>
      <c r="K183" s="318"/>
      <c r="L183" s="423"/>
      <c r="M183" s="479"/>
      <c r="N183" s="483"/>
      <c r="P183" s="244"/>
      <c r="Q183" s="82"/>
    </row>
    <row r="184" spans="1:17" ht="9" customHeight="1">
      <c r="A184"/>
      <c r="B184"/>
      <c r="C184"/>
      <c r="D184"/>
      <c r="E184"/>
      <c r="F184"/>
      <c r="G184"/>
      <c r="K184"/>
      <c r="L184" s="428"/>
      <c r="N184" s="483"/>
      <c r="P184"/>
      <c r="Q184"/>
    </row>
    <row r="185" spans="13:17" ht="12.75">
      <c r="M185" s="483"/>
      <c r="N185" s="483"/>
      <c r="P185" s="245"/>
      <c r="Q185" s="114"/>
    </row>
    <row r="186" spans="1:14" ht="18">
      <c r="A186" s="327"/>
      <c r="B186" s="341" t="s">
        <v>35</v>
      </c>
      <c r="C186" s="342"/>
      <c r="D186" s="343"/>
      <c r="E186" s="68"/>
      <c r="H186" s="68"/>
      <c r="I186" s="68"/>
      <c r="M186" s="489"/>
      <c r="N186" s="483"/>
    </row>
    <row r="187" spans="1:17" s="14" customFormat="1" ht="12.75">
      <c r="A187" s="322"/>
      <c r="B187" s="2"/>
      <c r="C187" s="2"/>
      <c r="D187" s="2"/>
      <c r="F187" s="271"/>
      <c r="G187" s="246"/>
      <c r="H187"/>
      <c r="I187"/>
      <c r="K187" s="318"/>
      <c r="L187" s="423"/>
      <c r="M187" s="489"/>
      <c r="N187" s="483"/>
      <c r="P187" s="244"/>
      <c r="Q187" s="82"/>
    </row>
    <row r="188" spans="3:14" ht="15.75" thickBot="1">
      <c r="C188" s="323"/>
      <c r="D188" s="349"/>
      <c r="M188" s="489"/>
      <c r="N188" s="483"/>
    </row>
    <row r="189" spans="2:14" ht="12.75">
      <c r="B189" s="328"/>
      <c r="C189" s="329"/>
      <c r="D189" s="329"/>
      <c r="E189" s="232"/>
      <c r="F189" s="272"/>
      <c r="G189" s="247"/>
      <c r="H189" s="23"/>
      <c r="I189" s="24"/>
      <c r="M189" s="489"/>
      <c r="N189" s="483"/>
    </row>
    <row r="190" spans="1:14" ht="25.5" customHeight="1">
      <c r="A190" s="322">
        <f>A182+1</f>
        <v>24</v>
      </c>
      <c r="B190" s="330"/>
      <c r="C190" s="106" t="str">
        <f>questionnaire!C352</f>
        <v>Les radiateurs des locaux ensoleillés ou à forte occupation sont-ils équipés de vannes thermostatiques ?</v>
      </c>
      <c r="D190" s="111"/>
      <c r="E190" s="115"/>
      <c r="F190" s="267">
        <v>12</v>
      </c>
      <c r="G190" s="255" t="str">
        <f>INDEX(Ameliorations_gestion_chauffBNC,F190)</f>
        <v>Placer des vannes thermostatiques dans les locaux où il y a surchauffe</v>
      </c>
      <c r="H190" s="68"/>
      <c r="I190" s="116"/>
      <c r="K190" s="319">
        <v>0</v>
      </c>
      <c r="L190" s="426">
        <f>IF(K190=2,questionnaire!S352,IF(K190=3,0.05,0))</f>
        <v>0</v>
      </c>
      <c r="M190" s="482">
        <f>IF(K190=0,0,1)</f>
        <v>0</v>
      </c>
      <c r="N190" s="483">
        <f>IF(AND(K190=2,L190=0),1,0)</f>
        <v>0</v>
      </c>
    </row>
    <row r="191" spans="1:17" s="14" customFormat="1" ht="13.5" thickBot="1">
      <c r="A191" s="322"/>
      <c r="B191" s="331"/>
      <c r="C191" s="332"/>
      <c r="D191" s="332"/>
      <c r="E191" s="233"/>
      <c r="F191" s="277"/>
      <c r="G191" s="253"/>
      <c r="H191" s="28"/>
      <c r="I191" s="29"/>
      <c r="K191" s="318"/>
      <c r="L191" s="423"/>
      <c r="M191" s="479"/>
      <c r="N191" s="478"/>
      <c r="P191" s="244"/>
      <c r="Q191" s="82"/>
    </row>
    <row r="192" spans="2:9" ht="12.75">
      <c r="B192" s="37"/>
      <c r="C192" s="37"/>
      <c r="D192" s="37"/>
      <c r="E192" s="68"/>
      <c r="H192" s="4"/>
      <c r="I192" s="4"/>
    </row>
    <row r="193" spans="2:15" ht="14.25">
      <c r="B193" s="96"/>
      <c r="C193" s="96" t="s">
        <v>126</v>
      </c>
      <c r="D193" s="96"/>
      <c r="E193" s="429"/>
      <c r="F193" s="429"/>
      <c r="G193" s="429"/>
      <c r="H193" s="429"/>
      <c r="I193" s="429"/>
      <c r="J193" s="429"/>
      <c r="K193" s="429"/>
      <c r="L193" s="429"/>
      <c r="O193" s="429"/>
    </row>
    <row r="194" spans="2:15" ht="12.75">
      <c r="B194" s="4"/>
      <c r="C194" s="4"/>
      <c r="D194" s="4"/>
      <c r="E194" s="57"/>
      <c r="F194" s="57"/>
      <c r="G194" s="57"/>
      <c r="H194" s="57"/>
      <c r="I194" s="57"/>
      <c r="J194" s="57"/>
      <c r="K194" s="57"/>
      <c r="L194" s="8"/>
      <c r="O194" s="4"/>
    </row>
    <row r="195" spans="2:15" ht="13.5" thickBo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8"/>
      <c r="O195" s="4"/>
    </row>
    <row r="196" spans="2:15" ht="12.75">
      <c r="B196" s="22"/>
      <c r="C196" s="23"/>
      <c r="D196" s="23"/>
      <c r="E196" s="23"/>
      <c r="F196" s="23"/>
      <c r="G196" s="23"/>
      <c r="H196" s="23"/>
      <c r="I196" s="24"/>
      <c r="J196" s="4"/>
      <c r="K196" s="4"/>
      <c r="L196" s="8"/>
      <c r="O196" s="4"/>
    </row>
    <row r="197" spans="1:15" ht="31.5">
      <c r="A197" s="322">
        <f>A190+1</f>
        <v>25</v>
      </c>
      <c r="B197" s="25"/>
      <c r="C197" s="37"/>
      <c r="D197" s="417" t="s">
        <v>127</v>
      </c>
      <c r="E197" s="37"/>
      <c r="F197" s="267">
        <v>3</v>
      </c>
      <c r="G197" s="255" t="str">
        <f>INDEX(Ameliorations_gestion_chauffBNC,F197)</f>
        <v>Sensibiliser les occupants à utiliser les vannes thermostatiques (ou commandes des unités terminales) plutôt que d'ouvrir les fenêtres en cas de surchauffe.</v>
      </c>
      <c r="H197" s="37"/>
      <c r="I197" s="421"/>
      <c r="J197" s="4"/>
      <c r="K197" s="302">
        <v>0</v>
      </c>
      <c r="L197" s="426">
        <f>IF(K197=2,questionnaire!S361,IF(K197=3,0.05,0))</f>
        <v>0</v>
      </c>
      <c r="M197" s="482">
        <f>IF(K197=0,0,1)</f>
        <v>0</v>
      </c>
      <c r="N197" s="483">
        <f>IF(AND(K197=2,L197=0),1,0)</f>
        <v>0</v>
      </c>
      <c r="O197" s="4"/>
    </row>
    <row r="198" spans="2:15" ht="13.5" thickBot="1">
      <c r="B198" s="27"/>
      <c r="C198" s="394"/>
      <c r="D198" s="418"/>
      <c r="E198" s="396"/>
      <c r="F198" s="397"/>
      <c r="G198" s="397"/>
      <c r="H198" s="397"/>
      <c r="I198" s="422"/>
      <c r="J198" s="4"/>
      <c r="K198" s="302"/>
      <c r="L198" s="8"/>
      <c r="O198" s="4"/>
    </row>
    <row r="199" spans="2:15" ht="12.75">
      <c r="B199" s="4"/>
      <c r="C199" s="198"/>
      <c r="D199" s="198"/>
      <c r="E199" s="419"/>
      <c r="F199" s="419"/>
      <c r="G199" s="419"/>
      <c r="H199" s="419"/>
      <c r="I199" s="419"/>
      <c r="J199" s="4"/>
      <c r="K199" s="302"/>
      <c r="L199" s="8"/>
      <c r="O199" s="4"/>
    </row>
    <row r="200" spans="1:17" s="14" customFormat="1" ht="18">
      <c r="A200" s="322"/>
      <c r="B200" s="341" t="s">
        <v>26</v>
      </c>
      <c r="C200" s="342"/>
      <c r="D200" s="343"/>
      <c r="E200" s="68"/>
      <c r="F200" s="271"/>
      <c r="G200" s="246"/>
      <c r="H200" s="68"/>
      <c r="K200" s="318"/>
      <c r="L200" s="423"/>
      <c r="M200" s="479"/>
      <c r="N200" s="478"/>
      <c r="P200" s="244"/>
      <c r="Q200" s="82"/>
    </row>
    <row r="201" ht="13.5" thickBot="1">
      <c r="H201" s="4"/>
    </row>
    <row r="202" spans="2:9" ht="12.75">
      <c r="B202" s="328"/>
      <c r="C202" s="329"/>
      <c r="D202" s="329"/>
      <c r="E202" s="232"/>
      <c r="F202" s="272"/>
      <c r="G202" s="247"/>
      <c r="H202" s="23"/>
      <c r="I202" s="24"/>
    </row>
    <row r="203" spans="1:14" ht="12.75">
      <c r="A203" s="322">
        <f>A197+1</f>
        <v>26</v>
      </c>
      <c r="B203" s="330"/>
      <c r="C203" s="106" t="str">
        <f>questionnaire!C369</f>
        <v>Les brûleurs sont-ils contrôlés plusieurs fois par an ?</v>
      </c>
      <c r="D203" s="346"/>
      <c r="E203" s="115"/>
      <c r="F203" s="267">
        <v>14</v>
      </c>
      <c r="G203" s="255" t="str">
        <f>INDEX(Ameliorations_gestion_chauffBNC,F203)</f>
        <v>Contrôler les brûleurs plusieurs fois par an</v>
      </c>
      <c r="H203" s="68"/>
      <c r="I203" s="116"/>
      <c r="K203" s="319">
        <v>0</v>
      </c>
      <c r="L203" s="426">
        <f>IF(K203=2,questionnaire!S369,IF(K203=3,0.05,0))</f>
        <v>0</v>
      </c>
      <c r="M203" s="482">
        <f>IF(K203=0,0,1)</f>
        <v>0</v>
      </c>
      <c r="N203" s="483">
        <f>IF(AND(K203=2,L203=0),1,0)</f>
        <v>0</v>
      </c>
    </row>
    <row r="204" spans="2:9" ht="12.75">
      <c r="B204" s="330"/>
      <c r="C204" s="107" t="s">
        <v>29</v>
      </c>
      <c r="D204" s="106"/>
      <c r="E204" s="68"/>
      <c r="H204" s="4"/>
      <c r="I204" s="26"/>
    </row>
    <row r="205" spans="1:17" s="14" customFormat="1" ht="13.5" thickBot="1">
      <c r="A205" s="322"/>
      <c r="B205" s="331"/>
      <c r="C205" s="332"/>
      <c r="D205" s="332"/>
      <c r="E205" s="233"/>
      <c r="F205" s="277"/>
      <c r="G205" s="253"/>
      <c r="H205" s="28"/>
      <c r="I205" s="29"/>
      <c r="K205" s="318"/>
      <c r="L205" s="423"/>
      <c r="M205" s="479"/>
      <c r="N205" s="478"/>
      <c r="P205" s="244"/>
      <c r="Q205" s="82"/>
    </row>
    <row r="206" ht="13.5" customHeight="1">
      <c r="K206" s="302"/>
    </row>
    <row r="207" ht="13.5" thickBot="1"/>
    <row r="208" spans="2:9" ht="12.75">
      <c r="B208" s="328"/>
      <c r="C208" s="329"/>
      <c r="D208" s="329"/>
      <c r="E208" s="232"/>
      <c r="F208" s="272"/>
      <c r="G208" s="247"/>
      <c r="H208" s="23"/>
      <c r="I208" s="24"/>
    </row>
    <row r="209" spans="1:14" ht="23.25" customHeight="1">
      <c r="A209" s="322">
        <f>A203+1</f>
        <v>27</v>
      </c>
      <c r="B209" s="330"/>
      <c r="C209" s="346" t="s">
        <v>36</v>
      </c>
      <c r="E209" s="115"/>
      <c r="F209" s="267">
        <v>20</v>
      </c>
      <c r="G209" s="255" t="str">
        <f>INDEX(Ameliorations_gestion_chauffBNC,F209)</f>
        <v>Chercher la cause de l'insuffisance d'eau, l'origine de la fuite</v>
      </c>
      <c r="H209" s="68"/>
      <c r="I209" s="116"/>
      <c r="K209" s="319">
        <v>0</v>
      </c>
      <c r="L209" s="426">
        <f>IF(K209=2,questionnaire!S375,IF(K209=3,0.05,0))</f>
        <v>0</v>
      </c>
      <c r="M209" s="482">
        <f>IF(K209=0,0,1)</f>
        <v>0</v>
      </c>
      <c r="N209" s="483">
        <f>IF(AND(K209=2,L209=0),1,0)</f>
        <v>0</v>
      </c>
    </row>
    <row r="210" spans="1:17" s="14" customFormat="1" ht="13.5" thickBot="1">
      <c r="A210" s="322"/>
      <c r="B210" s="331"/>
      <c r="C210" s="332"/>
      <c r="D210" s="332"/>
      <c r="E210" s="233"/>
      <c r="F210" s="277"/>
      <c r="G210" s="253"/>
      <c r="H210" s="28"/>
      <c r="I210" s="29"/>
      <c r="K210" s="318"/>
      <c r="L210" s="423"/>
      <c r="M210" s="479"/>
      <c r="N210" s="478"/>
      <c r="P210" s="244"/>
      <c r="Q210" s="82"/>
    </row>
    <row r="211" ht="13.5" thickBot="1"/>
    <row r="212" spans="2:12" ht="12.75">
      <c r="B212" s="328"/>
      <c r="C212" s="329"/>
      <c r="D212" s="329"/>
      <c r="E212" s="232"/>
      <c r="F212" s="272"/>
      <c r="G212" s="247"/>
      <c r="H212" s="23"/>
      <c r="I212" s="24"/>
      <c r="L212" s="426"/>
    </row>
    <row r="213" spans="1:14" ht="12.75">
      <c r="A213" s="322">
        <f>A209+1</f>
        <v>28</v>
      </c>
      <c r="B213" s="330"/>
      <c r="C213" s="346" t="s">
        <v>77</v>
      </c>
      <c r="E213" s="115"/>
      <c r="F213" s="267">
        <v>19</v>
      </c>
      <c r="G213" s="255" t="str">
        <f>INDEX(Ameliorations_gestion_chauffBNC,F213)</f>
        <v>Remplacer le vase d'expansion</v>
      </c>
      <c r="H213" s="68"/>
      <c r="I213" s="116"/>
      <c r="K213" s="319">
        <v>0</v>
      </c>
      <c r="L213" s="426">
        <f>IF(K213=2,questionnaire!S381,IF(K213=3,0.05,0))</f>
        <v>0</v>
      </c>
      <c r="M213" s="482">
        <f>IF(K213=0,0,1)</f>
        <v>0</v>
      </c>
      <c r="N213" s="483">
        <f>IF(AND(K213=2,L213=0),1,0)</f>
        <v>0</v>
      </c>
    </row>
    <row r="214" spans="2:9" ht="13.5" thickBot="1">
      <c r="B214" s="331"/>
      <c r="C214" s="332"/>
      <c r="D214" s="332"/>
      <c r="E214" s="233"/>
      <c r="F214" s="277"/>
      <c r="G214" s="253"/>
      <c r="H214" s="28"/>
      <c r="I214" s="29"/>
    </row>
    <row r="217" spans="7:17" ht="12.75">
      <c r="G217" s="491" t="s">
        <v>223</v>
      </c>
      <c r="N217" s="483"/>
      <c r="O217" s="245"/>
      <c r="P217" s="114"/>
      <c r="Q217"/>
    </row>
    <row r="218" spans="3:17" ht="15">
      <c r="C218" s="323"/>
      <c r="D218" s="349"/>
      <c r="G218" s="492" t="s">
        <v>226</v>
      </c>
      <c r="M218" s="483">
        <f>SUM(M5:M214)</f>
        <v>0</v>
      </c>
      <c r="N218" s="483"/>
      <c r="O218" s="244"/>
      <c r="P218" s="82"/>
      <c r="Q218"/>
    </row>
    <row r="219" spans="2:17" ht="17.25" thickBot="1">
      <c r="B219" s="493"/>
      <c r="C219" s="494"/>
      <c r="D219" s="494"/>
      <c r="E219" s="51"/>
      <c r="F219" s="495"/>
      <c r="G219" s="496" t="s">
        <v>227</v>
      </c>
      <c r="H219" s="4"/>
      <c r="M219" s="489">
        <v>50</v>
      </c>
      <c r="N219" s="483"/>
      <c r="O219" s="244"/>
      <c r="P219" s="82"/>
      <c r="Q219"/>
    </row>
    <row r="220" spans="7:17" ht="13.5" thickBot="1">
      <c r="G220" s="497" t="s">
        <v>228</v>
      </c>
      <c r="M220" s="490">
        <f>M219-M218</f>
        <v>50</v>
      </c>
      <c r="N220" s="483"/>
      <c r="O220" s="244"/>
      <c r="P220" s="82"/>
      <c r="Q220"/>
    </row>
    <row r="221" spans="14:17" ht="13.5" thickBot="1">
      <c r="N221" s="483"/>
      <c r="O221" s="244"/>
      <c r="P221" s="82"/>
      <c r="Q221"/>
    </row>
    <row r="222" spans="7:17" ht="13.5" thickBot="1">
      <c r="G222" s="561" t="s">
        <v>229</v>
      </c>
      <c r="H222" s="562"/>
      <c r="I222" s="562"/>
      <c r="J222" s="562"/>
      <c r="K222" s="562"/>
      <c r="N222" s="490">
        <f>SUM(N5:N214)</f>
        <v>0</v>
      </c>
      <c r="O222" s="244"/>
      <c r="P222" s="82"/>
      <c r="Q222"/>
    </row>
    <row r="551" ht="12.75">
      <c r="K551" s="319">
        <v>2</v>
      </c>
    </row>
  </sheetData>
  <mergeCells count="12">
    <mergeCell ref="G222:K222"/>
    <mergeCell ref="C136:D136"/>
    <mergeCell ref="C178:D178"/>
    <mergeCell ref="K1:K3"/>
    <mergeCell ref="L1:L3"/>
    <mergeCell ref="C68:D68"/>
    <mergeCell ref="C169:D169"/>
    <mergeCell ref="C87:D87"/>
    <mergeCell ref="C110:D110"/>
    <mergeCell ref="C120:D120"/>
    <mergeCell ref="C168:D168"/>
    <mergeCell ref="C131:D131"/>
  </mergeCells>
  <printOptions/>
  <pageMargins left="0.5905511811023623" right="0.3937007874015748" top="0.7874015748031497" bottom="0.984251968503937" header="0.5118110236220472" footer="0.5118110236220472"/>
  <pageSetup fitToHeight="0" fitToWidth="1" horizontalDpi="355" verticalDpi="355" orientation="portrait" paperSize="9" scale="78" r:id="rId1"/>
  <headerFooter alignWithMargins="0">
    <oddFooter>&amp;L&amp;8IBGE - 25/03/02&amp;R&amp;8Page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U177"/>
  <sheetViews>
    <sheetView workbookViewId="0" topLeftCell="A40">
      <pane xSplit="6555" topLeftCell="E1" activePane="topRight" state="split"/>
      <selection pane="topLeft" activeCell="H24" sqref="H24"/>
      <selection pane="topRight" activeCell="H44" sqref="H44"/>
    </sheetView>
  </sheetViews>
  <sheetFormatPr defaultColWidth="11.421875" defaultRowHeight="12.75"/>
  <cols>
    <col min="1" max="1" width="3.00390625" style="305" customWidth="1"/>
    <col min="2" max="2" width="2.7109375" style="4" customWidth="1"/>
    <col min="3" max="3" width="53.00390625" style="4" customWidth="1"/>
    <col min="4" max="4" width="31.421875" style="4" customWidth="1"/>
    <col min="5" max="5" width="13.00390625" style="466" customWidth="1"/>
    <col min="6" max="6" width="4.140625" style="4" customWidth="1"/>
    <col min="7" max="7" width="4.421875" style="4" customWidth="1"/>
    <col min="8" max="8" width="5.00390625" style="430" customWidth="1"/>
    <col min="9" max="9" width="4.28125" style="438" customWidth="1"/>
    <col min="10" max="10" width="7.8515625" style="4" customWidth="1"/>
    <col min="11" max="11" width="11.421875" style="4" customWidth="1"/>
    <col min="12" max="35" width="3.28125" style="4" customWidth="1"/>
    <col min="36" max="37" width="4.7109375" style="4" customWidth="1"/>
    <col min="38" max="38" width="4.421875" style="4" customWidth="1"/>
    <col min="39" max="47" width="4.7109375" style="4" customWidth="1"/>
    <col min="48" max="16384" width="11.421875" style="4" customWidth="1"/>
  </cols>
  <sheetData>
    <row r="1" spans="1:38" ht="22.5" customHeight="1">
      <c r="A1" s="304" t="s">
        <v>40</v>
      </c>
      <c r="N1" t="s">
        <v>5</v>
      </c>
      <c r="O1"/>
      <c r="AL1"/>
    </row>
    <row r="2" ht="7.5" customHeight="1"/>
    <row r="3" spans="1:5" ht="13.5" customHeight="1">
      <c r="A3" s="306"/>
      <c r="E3" s="467"/>
    </row>
    <row r="4" spans="1:40" ht="51.75" customHeight="1">
      <c r="A4" s="306"/>
      <c r="C4" s="7"/>
      <c r="D4" s="7"/>
      <c r="E4" s="467"/>
      <c r="F4" s="564" t="s">
        <v>0</v>
      </c>
      <c r="G4" s="566" t="s">
        <v>1</v>
      </c>
      <c r="H4" s="568" t="s">
        <v>2</v>
      </c>
      <c r="I4" s="570" t="s">
        <v>3</v>
      </c>
      <c r="AK4" s="564" t="s">
        <v>0</v>
      </c>
      <c r="AL4" s="566" t="s">
        <v>1</v>
      </c>
      <c r="AM4" s="572" t="s">
        <v>2</v>
      </c>
      <c r="AN4" s="574" t="s">
        <v>100</v>
      </c>
    </row>
    <row r="5" spans="1:40" ht="24.75">
      <c r="A5" s="306"/>
      <c r="C5" s="5"/>
      <c r="D5" s="5"/>
      <c r="E5" s="467"/>
      <c r="F5" s="565"/>
      <c r="G5" s="567"/>
      <c r="H5" s="569"/>
      <c r="I5" s="571"/>
      <c r="K5" s="4"/>
      <c r="AK5" s="565"/>
      <c r="AL5" s="567"/>
      <c r="AM5" s="573"/>
      <c r="AN5" s="575"/>
    </row>
    <row r="6" spans="1:40" ht="21" customHeight="1">
      <c r="A6" s="306"/>
      <c r="E6" s="467"/>
      <c r="F6" s="565"/>
      <c r="G6" s="567"/>
      <c r="H6" s="569"/>
      <c r="I6" s="571"/>
      <c r="K6" s="4"/>
      <c r="AK6" s="565"/>
      <c r="AL6" s="567"/>
      <c r="AM6" s="573"/>
      <c r="AN6" s="575"/>
    </row>
    <row r="7" spans="1:40" ht="21" customHeight="1">
      <c r="A7" s="306"/>
      <c r="E7" s="467"/>
      <c r="F7" s="382"/>
      <c r="G7" s="383"/>
      <c r="H7" s="431"/>
      <c r="I7" s="439"/>
      <c r="K7" s="4"/>
      <c r="AK7" s="382"/>
      <c r="AL7" s="383"/>
      <c r="AM7" s="9">
        <v>1</v>
      </c>
      <c r="AN7" s="10"/>
    </row>
    <row r="8" spans="1:40" s="14" customFormat="1" ht="21" customHeight="1">
      <c r="A8" s="17" t="s">
        <v>12</v>
      </c>
      <c r="E8" s="468"/>
      <c r="F8" s="18"/>
      <c r="G8" s="19"/>
      <c r="H8" s="432"/>
      <c r="I8" s="440"/>
      <c r="AK8" s="18"/>
      <c r="AL8" s="19"/>
      <c r="AM8" s="20">
        <v>2</v>
      </c>
      <c r="AN8" s="21"/>
    </row>
    <row r="9" spans="1:40" ht="21" customHeight="1">
      <c r="A9" s="11"/>
      <c r="D9" s="77"/>
      <c r="E9" s="467"/>
      <c r="F9" s="12"/>
      <c r="G9" s="13"/>
      <c r="H9" s="431"/>
      <c r="I9" s="439"/>
      <c r="K9" s="4" t="s">
        <v>6</v>
      </c>
      <c r="L9" s="41">
        <v>27</v>
      </c>
      <c r="M9" s="45"/>
      <c r="N9" s="41">
        <v>18</v>
      </c>
      <c r="O9" s="45"/>
      <c r="P9" s="41">
        <v>12</v>
      </c>
      <c r="Q9" s="45"/>
      <c r="R9" s="41">
        <v>9</v>
      </c>
      <c r="S9" s="45"/>
      <c r="T9" s="41">
        <v>8</v>
      </c>
      <c r="U9" s="45"/>
      <c r="V9" s="41">
        <v>6</v>
      </c>
      <c r="W9" s="45"/>
      <c r="X9" s="41">
        <v>4</v>
      </c>
      <c r="Y9" s="45"/>
      <c r="Z9" s="41">
        <v>3</v>
      </c>
      <c r="AA9" s="45"/>
      <c r="AB9" s="41">
        <v>2</v>
      </c>
      <c r="AC9" s="45"/>
      <c r="AD9" s="41">
        <v>1</v>
      </c>
      <c r="AE9" s="45"/>
      <c r="AF9" s="41" t="s">
        <v>41</v>
      </c>
      <c r="AG9" s="42"/>
      <c r="AH9" s="41">
        <v>0</v>
      </c>
      <c r="AI9" s="42"/>
      <c r="AK9" s="12"/>
      <c r="AL9" s="13"/>
      <c r="AM9" s="9">
        <v>3</v>
      </c>
      <c r="AN9" s="10"/>
    </row>
    <row r="10" spans="1:47" ht="38.25">
      <c r="A10" s="307">
        <f>'liste améliorations'!A7</f>
        <v>1</v>
      </c>
      <c r="B10" s="2"/>
      <c r="C10" s="72" t="str">
        <f>'liste améliorations'!B7</f>
        <v>Remplacer la chaudière et le brûleur</v>
      </c>
      <c r="D10" s="78" t="s">
        <v>210</v>
      </c>
      <c r="E10" s="469" t="str">
        <f>'liste améliorations'!B8</f>
        <v>Jusqu'à 15%</v>
      </c>
      <c r="F10" s="288">
        <f>'liste améliorations'!C7</f>
        <v>3</v>
      </c>
      <c r="G10" s="289">
        <f>'liste améliorations'!D7</f>
        <v>2</v>
      </c>
      <c r="H10" s="433">
        <f>IF(OR('liens Q R'!K6=2,AND('liens Q R'!K10=2,'liens Q R'!K16=1,'liens Q R'!K18=1,'liens Q R'!K22=1,'liens Q R'!K26=1),AND('liens Q R'!K10=2,'liens Q R'!K24=2)),MAX('liens Q R'!L6,'liens Q R'!L10,'liens Q R'!L16,'liens Q R'!L18,'liens Q R'!L22,'liens Q R'!L24,'liens Q R'!L26),IF(OR('liens Q R'!K6=3,AND(OR('liens Q R'!K10=2,'liens Q R'!K10=3),OR('liens Q R'!K16=1,'liens Q R'!K16=3),OR('liens Q R'!K18=1,'liens Q R'!K18=3),OR('liens Q R'!K22=1,'liens Q R'!K22=3),OR('liens Q R'!K26=1,'liens Q R'!K26=3)),AND(OR('liens Q R'!K10=2,'liens Q R'!K10=3),OR('liens Q R'!K24=2,'liens Q R'!K24=3))),0.05,0))</f>
        <v>0</v>
      </c>
      <c r="I10" s="441">
        <f aca="true" t="shared" si="0" ref="I10:I21">+F10*G10*H10</f>
        <v>0</v>
      </c>
      <c r="K10" s="46">
        <f aca="true" t="shared" si="1" ref="K10:K22">L10+N10+P10+R10+T10+V10+X10+Z10+AB10+AD10+AF10+AH10</f>
        <v>1</v>
      </c>
      <c r="L10" s="43">
        <f>IF(I10=27,1,0)</f>
        <v>0</v>
      </c>
      <c r="M10" s="44">
        <f>IF(I10=27,1,0)</f>
        <v>0</v>
      </c>
      <c r="N10" s="43">
        <f>IF($I10=N$9,M22+1,0)</f>
        <v>0</v>
      </c>
      <c r="O10" s="44">
        <f>IF($I10=N$9,N10,M22)</f>
        <v>0</v>
      </c>
      <c r="P10" s="43">
        <f>IF($I10=P$9,O22+1,0)</f>
        <v>0</v>
      </c>
      <c r="Q10" s="44">
        <f>IF($I10=P$9,P10,O22)</f>
        <v>0</v>
      </c>
      <c r="R10" s="43">
        <f>IF($I10=R$9,Q22+1,0)</f>
        <v>0</v>
      </c>
      <c r="S10" s="44">
        <f>IF($I10=R$9,R10,Q22)</f>
        <v>0</v>
      </c>
      <c r="T10" s="43">
        <f>IF($I10=T$9,S22+1,0)</f>
        <v>0</v>
      </c>
      <c r="U10" s="44">
        <f>IF($I10=T$9,T10,S22)</f>
        <v>0</v>
      </c>
      <c r="V10" s="43">
        <f>IF($I10=V$9,U22+1,0)</f>
        <v>0</v>
      </c>
      <c r="W10" s="44">
        <f>IF($I10=V$9,V10,U22)</f>
        <v>0</v>
      </c>
      <c r="X10" s="43">
        <f>IF($I10=X$9,W22+1,0)</f>
        <v>0</v>
      </c>
      <c r="Y10" s="44">
        <f>IF($I10=X$9,X10,W22)</f>
        <v>0</v>
      </c>
      <c r="Z10" s="43">
        <f>IF($I10=Z$9,Y22+1,0)</f>
        <v>0</v>
      </c>
      <c r="AA10" s="44">
        <f>IF($I10=Z$9,Z10,Y22)</f>
        <v>0</v>
      </c>
      <c r="AB10" s="43">
        <f>IF($I10=AB$9,AA22+1,0)</f>
        <v>0</v>
      </c>
      <c r="AC10" s="44">
        <f>IF($I10=AB$9,AB10,AA22)</f>
        <v>0</v>
      </c>
      <c r="AD10" s="43">
        <f>IF($I10=AD$9,AC22+1,0)</f>
        <v>0</v>
      </c>
      <c r="AE10" s="44">
        <f>IF($I10=AD$9,AD10,AC22)</f>
        <v>0</v>
      </c>
      <c r="AF10" s="43">
        <f>IF(AND($I10&gt;0,$I10&lt;1),AE22+1,0)</f>
        <v>0</v>
      </c>
      <c r="AG10" s="44">
        <f>IF(AND($I10&gt;0,$I10&lt;1),AF10,AE22)</f>
        <v>0</v>
      </c>
      <c r="AH10" s="43">
        <f>IF($I10=AH$9,AG22+1,0)</f>
        <v>1</v>
      </c>
      <c r="AI10" s="44">
        <f>IF($I10=AH$9,AH10,AG22)</f>
        <v>1</v>
      </c>
      <c r="AJ10" s="40"/>
      <c r="AK10" s="288" t="str">
        <f aca="true" t="shared" si="2" ref="AK10:AK21">IF(AN10=" "," ",F10)</f>
        <v> </v>
      </c>
      <c r="AL10" s="289" t="str">
        <f aca="true" t="shared" si="3" ref="AL10:AL21">IF(AN10=" "," ",G10)</f>
        <v> </v>
      </c>
      <c r="AM10" s="36" t="str">
        <f aca="true" t="shared" si="4" ref="AM10:AM21">IF(H10&lt;1," ",H10)</f>
        <v> </v>
      </c>
      <c r="AN10" s="66" t="str">
        <f aca="true" t="shared" si="5" ref="AN10:AN21">IF(I10=0," ",IF(I10&lt;1,"-",I10))</f>
        <v> </v>
      </c>
      <c r="AO10" s="40"/>
      <c r="AP10" s="40"/>
      <c r="AQ10" s="40"/>
      <c r="AR10" s="40"/>
      <c r="AS10" s="40"/>
      <c r="AT10" s="40"/>
      <c r="AU10" s="40"/>
    </row>
    <row r="11" spans="1:40" ht="25.5">
      <c r="A11" s="307">
        <f>'liste améliorations'!A19</f>
        <v>7</v>
      </c>
      <c r="B11" s="2"/>
      <c r="C11" s="72" t="str">
        <f>'liste améliorations'!B19</f>
        <v>Améliorer le réglage du brûleur : Régler le registre d'air et la tête de combustion</v>
      </c>
      <c r="D11" s="78" t="s">
        <v>211</v>
      </c>
      <c r="E11" s="469" t="str">
        <f>'liste améliorations'!B20</f>
        <v>…1%... De la consommation de chauffage pour un suivi saisonnier du réglage</v>
      </c>
      <c r="F11" s="290">
        <f>'liste améliorations'!C19</f>
        <v>1</v>
      </c>
      <c r="G11" s="291">
        <f>'liste améliorations'!D19</f>
        <v>3</v>
      </c>
      <c r="H11" s="433">
        <f>IF(AND(OR('liens Q R'!K10=2,'liens Q R'!K10=3),OR('liens Q R'!K16=2,'liens Q R'!K16=3,'liens Q R'!K18=2,'liens Q R'!K18=3,'liens Q R'!J21=2,'liens Q R'!K21=3,'liens Q R'!K22=2,'liens Q R'!K22=3,'liens Q R'!K26=2,'liens Q R'!K26=3)),'liens Q R'!L10,0)</f>
        <v>0</v>
      </c>
      <c r="I11" s="441">
        <f>+F11*G11*H11</f>
        <v>0</v>
      </c>
      <c r="J11" s="59"/>
      <c r="K11" s="46">
        <f t="shared" si="1"/>
        <v>2</v>
      </c>
      <c r="L11" s="43">
        <f aca="true" t="shared" si="6" ref="L11:L22">IF($I11=L$9,M10+1,0)</f>
        <v>0</v>
      </c>
      <c r="M11" s="44">
        <f aca="true" t="shared" si="7" ref="M11:M22">IF($I11=L$9,L11,M10)</f>
        <v>0</v>
      </c>
      <c r="N11" s="43">
        <f aca="true" t="shared" si="8" ref="N11:N22">IF($I11=N$9,O10+1,0)</f>
        <v>0</v>
      </c>
      <c r="O11" s="44">
        <f aca="true" t="shared" si="9" ref="O11:O22">IF($I11=N$9,N11,O10)</f>
        <v>0</v>
      </c>
      <c r="P11" s="43">
        <f aca="true" t="shared" si="10" ref="P11:P22">IF($I11=P$9,Q10+1,0)</f>
        <v>0</v>
      </c>
      <c r="Q11" s="44">
        <f aca="true" t="shared" si="11" ref="Q11:Q22">IF($I11=P$9,P11,Q10)</f>
        <v>0</v>
      </c>
      <c r="R11" s="43">
        <f aca="true" t="shared" si="12" ref="R11:R22">IF($I11=R$9,S10+1,0)</f>
        <v>0</v>
      </c>
      <c r="S11" s="44">
        <f aca="true" t="shared" si="13" ref="S11:S22">IF($I11=R$9,R11,S10)</f>
        <v>0</v>
      </c>
      <c r="T11" s="43">
        <f aca="true" t="shared" si="14" ref="T11:T22">IF($I11=T$9,U10+1,0)</f>
        <v>0</v>
      </c>
      <c r="U11" s="44">
        <f aca="true" t="shared" si="15" ref="U11:U22">IF($I11=T$9,T11,U10)</f>
        <v>0</v>
      </c>
      <c r="V11" s="43">
        <f aca="true" t="shared" si="16" ref="V11:V22">IF($I11=V$9,W10+1,0)</f>
        <v>0</v>
      </c>
      <c r="W11" s="44">
        <f aca="true" t="shared" si="17" ref="W11:W22">IF($I11=V$9,V11,W10)</f>
        <v>0</v>
      </c>
      <c r="X11" s="43">
        <f aca="true" t="shared" si="18" ref="X11:X22">IF($I11=X$9,Y10+1,0)</f>
        <v>0</v>
      </c>
      <c r="Y11" s="44">
        <f aca="true" t="shared" si="19" ref="Y11:Y22">IF($I11=X$9,X11,Y10)</f>
        <v>0</v>
      </c>
      <c r="Z11" s="43">
        <f aca="true" t="shared" si="20" ref="Z11:Z22">IF($I11=Z$9,AA10+1,0)</f>
        <v>0</v>
      </c>
      <c r="AA11" s="44">
        <f aca="true" t="shared" si="21" ref="AA11:AA22">IF($I11=Z$9,Z11,AA10)</f>
        <v>0</v>
      </c>
      <c r="AB11" s="43">
        <f aca="true" t="shared" si="22" ref="AB11:AB22">IF($I11=AB$9,AC10+1,0)</f>
        <v>0</v>
      </c>
      <c r="AC11" s="44">
        <f aca="true" t="shared" si="23" ref="AC11:AC22">IF($I11=AB$9,AB11,AC10)</f>
        <v>0</v>
      </c>
      <c r="AD11" s="43">
        <f aca="true" t="shared" si="24" ref="AD11:AD22">IF($I11=AD$9,AE10+1,0)</f>
        <v>0</v>
      </c>
      <c r="AE11" s="44">
        <f aca="true" t="shared" si="25" ref="AE11:AE22">IF($I11=AD$9,AD11,AE10)</f>
        <v>0</v>
      </c>
      <c r="AF11" s="43">
        <f aca="true" t="shared" si="26" ref="AF11:AF22">IF(AND($I11&gt;0,$I11&lt;1),AG10+1,0)</f>
        <v>0</v>
      </c>
      <c r="AG11" s="44">
        <f aca="true" t="shared" si="27" ref="AG11:AG22">IF(AND($I11&gt;0,$I11&lt;1),AF11,AG10)</f>
        <v>0</v>
      </c>
      <c r="AH11" s="43">
        <f aca="true" t="shared" si="28" ref="AH11:AH22">IF($I11=AH$9,AI10+1,0)</f>
        <v>2</v>
      </c>
      <c r="AI11" s="44">
        <f aca="true" t="shared" si="29" ref="AI11:AI22">IF($I11=AH$9,AH11,AI10)</f>
        <v>2</v>
      </c>
      <c r="AK11" s="288" t="str">
        <f>IF(AN11=" "," ",F11)</f>
        <v> </v>
      </c>
      <c r="AL11" s="289" t="str">
        <f>IF(AN11=" "," ",G11)</f>
        <v> </v>
      </c>
      <c r="AM11" s="36" t="str">
        <f>IF(H11&lt;1," ",H11)</f>
        <v> </v>
      </c>
      <c r="AN11" s="66" t="str">
        <f>IF(I11=0," ",IF(I11&lt;1,"-",I11))</f>
        <v> </v>
      </c>
    </row>
    <row r="12" spans="1:40" ht="25.5">
      <c r="A12" s="307">
        <f>'liste améliorations'!A21</f>
        <v>8</v>
      </c>
      <c r="B12" s="2"/>
      <c r="C12" s="72" t="str">
        <f>'liste améliorations'!B21</f>
        <v>Colmater les inétanchéités de la chaudière (portes, entre éléments en fonte) </v>
      </c>
      <c r="D12" s="78"/>
      <c r="E12" s="469" t="str">
        <f>'liste améliorations'!B22</f>
        <v>…1%...</v>
      </c>
      <c r="F12" s="290">
        <f>'liste améliorations'!C21</f>
        <v>1</v>
      </c>
      <c r="G12" s="291">
        <f>'liste améliorations'!D21</f>
        <v>3</v>
      </c>
      <c r="H12" s="433">
        <f>IF(OR('liens Q R'!K10=2,'liens Q R'!K10=3),'liens Q R'!L16,0)</f>
        <v>0</v>
      </c>
      <c r="I12" s="441">
        <f t="shared" si="0"/>
        <v>0</v>
      </c>
      <c r="J12" s="59"/>
      <c r="K12" s="46">
        <f t="shared" si="1"/>
        <v>3</v>
      </c>
      <c r="L12" s="43">
        <f t="shared" si="6"/>
        <v>0</v>
      </c>
      <c r="M12" s="44">
        <f t="shared" si="7"/>
        <v>0</v>
      </c>
      <c r="N12" s="43">
        <f t="shared" si="8"/>
        <v>0</v>
      </c>
      <c r="O12" s="44">
        <f t="shared" si="9"/>
        <v>0</v>
      </c>
      <c r="P12" s="43">
        <f t="shared" si="10"/>
        <v>0</v>
      </c>
      <c r="Q12" s="44">
        <f t="shared" si="11"/>
        <v>0</v>
      </c>
      <c r="R12" s="43">
        <f t="shared" si="12"/>
        <v>0</v>
      </c>
      <c r="S12" s="44">
        <f t="shared" si="13"/>
        <v>0</v>
      </c>
      <c r="T12" s="43">
        <f t="shared" si="14"/>
        <v>0</v>
      </c>
      <c r="U12" s="44">
        <f t="shared" si="15"/>
        <v>0</v>
      </c>
      <c r="V12" s="43">
        <f t="shared" si="16"/>
        <v>0</v>
      </c>
      <c r="W12" s="44">
        <f t="shared" si="17"/>
        <v>0</v>
      </c>
      <c r="X12" s="43">
        <f t="shared" si="18"/>
        <v>0</v>
      </c>
      <c r="Y12" s="44">
        <f t="shared" si="19"/>
        <v>0</v>
      </c>
      <c r="Z12" s="43">
        <f t="shared" si="20"/>
        <v>0</v>
      </c>
      <c r="AA12" s="44">
        <f t="shared" si="21"/>
        <v>0</v>
      </c>
      <c r="AB12" s="43">
        <f t="shared" si="22"/>
        <v>0</v>
      </c>
      <c r="AC12" s="44">
        <f t="shared" si="23"/>
        <v>0</v>
      </c>
      <c r="AD12" s="43">
        <f t="shared" si="24"/>
        <v>0</v>
      </c>
      <c r="AE12" s="44">
        <f t="shared" si="25"/>
        <v>0</v>
      </c>
      <c r="AF12" s="43">
        <f t="shared" si="26"/>
        <v>0</v>
      </c>
      <c r="AG12" s="44">
        <f t="shared" si="27"/>
        <v>0</v>
      </c>
      <c r="AH12" s="43">
        <f t="shared" si="28"/>
        <v>3</v>
      </c>
      <c r="AI12" s="44">
        <f t="shared" si="29"/>
        <v>3</v>
      </c>
      <c r="AK12" s="288" t="str">
        <f t="shared" si="2"/>
        <v> </v>
      </c>
      <c r="AL12" s="289" t="str">
        <f t="shared" si="3"/>
        <v> </v>
      </c>
      <c r="AM12" s="36" t="str">
        <f t="shared" si="4"/>
        <v> </v>
      </c>
      <c r="AN12" s="66" t="str">
        <f t="shared" si="5"/>
        <v> </v>
      </c>
    </row>
    <row r="13" spans="1:40" ht="12.75">
      <c r="A13" s="307">
        <f>'liste améliorations'!A13</f>
        <v>4</v>
      </c>
      <c r="B13" s="2"/>
      <c r="C13" s="72" t="str">
        <f>'liste améliorations'!B13</f>
        <v>Placer un régulateur de tirage </v>
      </c>
      <c r="D13" s="78"/>
      <c r="E13" s="469" t="str">
        <f>'liste améliorations'!B14</f>
        <v>1... 3%</v>
      </c>
      <c r="F13" s="290">
        <f>'liste améliorations'!C13</f>
        <v>1</v>
      </c>
      <c r="G13" s="291">
        <f>'liste améliorations'!D13</f>
        <v>3</v>
      </c>
      <c r="H13" s="433">
        <f>IF(OR('liens Q R'!K10=2,'liens Q R'!K10=3),'liens Q R'!L18,0)</f>
        <v>0</v>
      </c>
      <c r="I13" s="441">
        <f>+F13*G13*H13</f>
        <v>0</v>
      </c>
      <c r="J13" s="59"/>
      <c r="K13" s="46">
        <f t="shared" si="1"/>
        <v>4</v>
      </c>
      <c r="L13" s="43">
        <f t="shared" si="6"/>
        <v>0</v>
      </c>
      <c r="M13" s="44">
        <f t="shared" si="7"/>
        <v>0</v>
      </c>
      <c r="N13" s="43">
        <f t="shared" si="8"/>
        <v>0</v>
      </c>
      <c r="O13" s="44">
        <f t="shared" si="9"/>
        <v>0</v>
      </c>
      <c r="P13" s="43">
        <f t="shared" si="10"/>
        <v>0</v>
      </c>
      <c r="Q13" s="44">
        <f t="shared" si="11"/>
        <v>0</v>
      </c>
      <c r="R13" s="43">
        <f t="shared" si="12"/>
        <v>0</v>
      </c>
      <c r="S13" s="44">
        <f t="shared" si="13"/>
        <v>0</v>
      </c>
      <c r="T13" s="43">
        <f t="shared" si="14"/>
        <v>0</v>
      </c>
      <c r="U13" s="44">
        <f t="shared" si="15"/>
        <v>0</v>
      </c>
      <c r="V13" s="43">
        <f t="shared" si="16"/>
        <v>0</v>
      </c>
      <c r="W13" s="44">
        <f t="shared" si="17"/>
        <v>0</v>
      </c>
      <c r="X13" s="43">
        <f t="shared" si="18"/>
        <v>0</v>
      </c>
      <c r="Y13" s="44">
        <f t="shared" si="19"/>
        <v>0</v>
      </c>
      <c r="Z13" s="43">
        <f t="shared" si="20"/>
        <v>0</v>
      </c>
      <c r="AA13" s="44">
        <f t="shared" si="21"/>
        <v>0</v>
      </c>
      <c r="AB13" s="43">
        <f t="shared" si="22"/>
        <v>0</v>
      </c>
      <c r="AC13" s="44">
        <f t="shared" si="23"/>
        <v>0</v>
      </c>
      <c r="AD13" s="43">
        <f t="shared" si="24"/>
        <v>0</v>
      </c>
      <c r="AE13" s="44">
        <f t="shared" si="25"/>
        <v>0</v>
      </c>
      <c r="AF13" s="43">
        <f t="shared" si="26"/>
        <v>0</v>
      </c>
      <c r="AG13" s="44">
        <f t="shared" si="27"/>
        <v>0</v>
      </c>
      <c r="AH13" s="43">
        <f t="shared" si="28"/>
        <v>4</v>
      </c>
      <c r="AI13" s="44">
        <f t="shared" si="29"/>
        <v>4</v>
      </c>
      <c r="AK13" s="288" t="str">
        <f>IF(AN13=" "," ",F13)</f>
        <v> </v>
      </c>
      <c r="AL13" s="289" t="str">
        <f>IF(AN13=" "," ",G13)</f>
        <v> </v>
      </c>
      <c r="AM13" s="36" t="str">
        <f>IF(H13&lt;1," ",H13)</f>
        <v> </v>
      </c>
      <c r="AN13" s="66" t="str">
        <f>IF(I13=0," ",IF(I13&lt;1,"-",I13))</f>
        <v> </v>
      </c>
    </row>
    <row r="14" spans="1:40" ht="12.75">
      <c r="A14" s="307">
        <f>'liste améliorations'!A11</f>
        <v>3</v>
      </c>
      <c r="B14" s="2"/>
      <c r="C14" s="72" t="str">
        <f>'liste améliorations'!B11</f>
        <v>Régler le régulateur de tirage</v>
      </c>
      <c r="D14" s="78" t="s">
        <v>153</v>
      </c>
      <c r="E14" s="469" t="str">
        <f>'liste améliorations'!B12</f>
        <v>1... 3%</v>
      </c>
      <c r="F14" s="290">
        <f>'liste améliorations'!C11</f>
        <v>1</v>
      </c>
      <c r="G14" s="291">
        <f>'liste améliorations'!D11</f>
        <v>3</v>
      </c>
      <c r="H14" s="433">
        <f>IF(OR('liens Q R'!K10=2,'liens Q R'!K10=3),IF(AND('liens Q R'!K18=1,'liens Q R'!K21=2),'liens Q R'!L21,IF(AND(OR('liens Q R'!K18=1,'liens Q R'!K18=3),OR('liens Q R'!K21=2,'liens Q R'!K21=3)),0.05,0)),0)</f>
        <v>0</v>
      </c>
      <c r="I14" s="441">
        <f>+F14*G14*H14</f>
        <v>0</v>
      </c>
      <c r="J14" s="59"/>
      <c r="K14" s="46">
        <f t="shared" si="1"/>
        <v>5</v>
      </c>
      <c r="L14" s="43">
        <f t="shared" si="6"/>
        <v>0</v>
      </c>
      <c r="M14" s="44">
        <f t="shared" si="7"/>
        <v>0</v>
      </c>
      <c r="N14" s="43">
        <f t="shared" si="8"/>
        <v>0</v>
      </c>
      <c r="O14" s="44">
        <f t="shared" si="9"/>
        <v>0</v>
      </c>
      <c r="P14" s="43">
        <f t="shared" si="10"/>
        <v>0</v>
      </c>
      <c r="Q14" s="44">
        <f t="shared" si="11"/>
        <v>0</v>
      </c>
      <c r="R14" s="43">
        <f t="shared" si="12"/>
        <v>0</v>
      </c>
      <c r="S14" s="44">
        <f t="shared" si="13"/>
        <v>0</v>
      </c>
      <c r="T14" s="43">
        <f t="shared" si="14"/>
        <v>0</v>
      </c>
      <c r="U14" s="44">
        <f t="shared" si="15"/>
        <v>0</v>
      </c>
      <c r="V14" s="43">
        <f t="shared" si="16"/>
        <v>0</v>
      </c>
      <c r="W14" s="44">
        <f t="shared" si="17"/>
        <v>0</v>
      </c>
      <c r="X14" s="43">
        <f t="shared" si="18"/>
        <v>0</v>
      </c>
      <c r="Y14" s="44">
        <f t="shared" si="19"/>
        <v>0</v>
      </c>
      <c r="Z14" s="43">
        <f t="shared" si="20"/>
        <v>0</v>
      </c>
      <c r="AA14" s="44">
        <f t="shared" si="21"/>
        <v>0</v>
      </c>
      <c r="AB14" s="43">
        <f t="shared" si="22"/>
        <v>0</v>
      </c>
      <c r="AC14" s="44">
        <f t="shared" si="23"/>
        <v>0</v>
      </c>
      <c r="AD14" s="43">
        <f t="shared" si="24"/>
        <v>0</v>
      </c>
      <c r="AE14" s="44">
        <f t="shared" si="25"/>
        <v>0</v>
      </c>
      <c r="AF14" s="43">
        <f t="shared" si="26"/>
        <v>0</v>
      </c>
      <c r="AG14" s="44">
        <f t="shared" si="27"/>
        <v>0</v>
      </c>
      <c r="AH14" s="43">
        <f t="shared" si="28"/>
        <v>5</v>
      </c>
      <c r="AI14" s="44">
        <f t="shared" si="29"/>
        <v>5</v>
      </c>
      <c r="AK14" s="288" t="str">
        <f>IF(AN14=" "," ",F14)</f>
        <v> </v>
      </c>
      <c r="AL14" s="289" t="str">
        <f>IF(AN14=" "," ",G14)</f>
        <v> </v>
      </c>
      <c r="AM14" s="36" t="str">
        <f>IF(H14&lt;1," ",H14)</f>
        <v> </v>
      </c>
      <c r="AN14" s="66" t="str">
        <f>IF(I14=0," ",IF(I14&lt;1,"-",I14))</f>
        <v> </v>
      </c>
    </row>
    <row r="15" spans="1:40" ht="12.75">
      <c r="A15" s="307">
        <f>'liste améliorations'!A15</f>
        <v>5</v>
      </c>
      <c r="B15" s="2"/>
      <c r="C15" s="72" t="str">
        <f>'liste améliorations'!B15</f>
        <v>Nettoyer la chaudière</v>
      </c>
      <c r="D15" s="298"/>
      <c r="E15" s="469" t="str">
        <f>'liste améliorations'!B16</f>
        <v>perte de rendement de combustion de 4 à 8% pour 1 mm de suie sur la surface de l'échangeur </v>
      </c>
      <c r="F15" s="290">
        <f>'liste améliorations'!C15</f>
        <v>1</v>
      </c>
      <c r="G15" s="291">
        <f>'liste améliorations'!D15</f>
        <v>3</v>
      </c>
      <c r="H15" s="433">
        <f>IF(OR('liens Q R'!K10=2,'liens Q R'!K10=3),'liens Q R'!L22,0)</f>
        <v>0</v>
      </c>
      <c r="I15" s="441">
        <f>+F15*G15*H15</f>
        <v>0</v>
      </c>
      <c r="J15" s="59"/>
      <c r="K15" s="46">
        <f t="shared" si="1"/>
        <v>6</v>
      </c>
      <c r="L15" s="43">
        <f t="shared" si="6"/>
        <v>0</v>
      </c>
      <c r="M15" s="44">
        <f t="shared" si="7"/>
        <v>0</v>
      </c>
      <c r="N15" s="43">
        <f t="shared" si="8"/>
        <v>0</v>
      </c>
      <c r="O15" s="44">
        <f t="shared" si="9"/>
        <v>0</v>
      </c>
      <c r="P15" s="43">
        <f t="shared" si="10"/>
        <v>0</v>
      </c>
      <c r="Q15" s="44">
        <f t="shared" si="11"/>
        <v>0</v>
      </c>
      <c r="R15" s="43">
        <f t="shared" si="12"/>
        <v>0</v>
      </c>
      <c r="S15" s="44">
        <f t="shared" si="13"/>
        <v>0</v>
      </c>
      <c r="T15" s="43">
        <f t="shared" si="14"/>
        <v>0</v>
      </c>
      <c r="U15" s="44">
        <f t="shared" si="15"/>
        <v>0</v>
      </c>
      <c r="V15" s="43">
        <f t="shared" si="16"/>
        <v>0</v>
      </c>
      <c r="W15" s="44">
        <f t="shared" si="17"/>
        <v>0</v>
      </c>
      <c r="X15" s="43">
        <f t="shared" si="18"/>
        <v>0</v>
      </c>
      <c r="Y15" s="44">
        <f t="shared" si="19"/>
        <v>0</v>
      </c>
      <c r="Z15" s="43">
        <f t="shared" si="20"/>
        <v>0</v>
      </c>
      <c r="AA15" s="44">
        <f t="shared" si="21"/>
        <v>0</v>
      </c>
      <c r="AB15" s="43">
        <f t="shared" si="22"/>
        <v>0</v>
      </c>
      <c r="AC15" s="44">
        <f t="shared" si="23"/>
        <v>0</v>
      </c>
      <c r="AD15" s="43">
        <f t="shared" si="24"/>
        <v>0</v>
      </c>
      <c r="AE15" s="44">
        <f t="shared" si="25"/>
        <v>0</v>
      </c>
      <c r="AF15" s="43">
        <f t="shared" si="26"/>
        <v>0</v>
      </c>
      <c r="AG15" s="44">
        <f t="shared" si="27"/>
        <v>0</v>
      </c>
      <c r="AH15" s="43">
        <f t="shared" si="28"/>
        <v>6</v>
      </c>
      <c r="AI15" s="44">
        <f t="shared" si="29"/>
        <v>6</v>
      </c>
      <c r="AK15" s="288" t="str">
        <f>IF(AN15=" "," ",F15)</f>
        <v> </v>
      </c>
      <c r="AL15" s="289" t="str">
        <f>IF(AN15=" "," ",G15)</f>
        <v> </v>
      </c>
      <c r="AM15" s="36" t="str">
        <f>IF(H15&lt;1," ",H15)</f>
        <v> </v>
      </c>
      <c r="AN15" s="66" t="str">
        <f>IF(I15=0," ",IF(I15&lt;1,"-",I15))</f>
        <v> </v>
      </c>
    </row>
    <row r="16" spans="1:40" ht="25.5">
      <c r="A16" s="307">
        <f>'liste améliorations'!A23</f>
        <v>9</v>
      </c>
      <c r="B16" s="2"/>
      <c r="C16" s="72" t="str">
        <f>'liste améliorations'!B23</f>
        <v>Diminuer la puissance du brûleur existant (Mettre un gicleur de plus petit calibre)</v>
      </c>
      <c r="D16" s="297" t="s">
        <v>212</v>
      </c>
      <c r="E16" s="469" t="str">
        <f>'liste améliorations'!B24</f>
        <v>…1%... </v>
      </c>
      <c r="F16" s="290">
        <f>'liste améliorations'!C23</f>
        <v>1</v>
      </c>
      <c r="G16" s="291">
        <f>'liste améliorations'!D23</f>
        <v>3</v>
      </c>
      <c r="H16" s="433">
        <f>IF(OR(AND(OR('liens Q R'!K10=2,'liens Q R'!K10=3),'liens Q R'!K26=2),'liens Q R'!K47=2,'liens Q R'!K52=2),MAX('liens Q R'!L26,'liens Q R'!L47,'liens Q R'!L52),IF(OR(AND(OR('liens Q R'!K10=2,'liens Q R'!K10=3),'liens Q R'!K26=3),'liens Q R'!K47=3,'liens Q R'!K52=3),0.05,0))</f>
        <v>0</v>
      </c>
      <c r="I16" s="441">
        <f>+F16*G16*H16</f>
        <v>0</v>
      </c>
      <c r="J16" s="59"/>
      <c r="K16" s="46">
        <f t="shared" si="1"/>
        <v>7</v>
      </c>
      <c r="L16" s="43">
        <f t="shared" si="6"/>
        <v>0</v>
      </c>
      <c r="M16" s="44">
        <f t="shared" si="7"/>
        <v>0</v>
      </c>
      <c r="N16" s="43">
        <f t="shared" si="8"/>
        <v>0</v>
      </c>
      <c r="O16" s="44">
        <f t="shared" si="9"/>
        <v>0</v>
      </c>
      <c r="P16" s="43">
        <f t="shared" si="10"/>
        <v>0</v>
      </c>
      <c r="Q16" s="44">
        <f t="shared" si="11"/>
        <v>0</v>
      </c>
      <c r="R16" s="43">
        <f t="shared" si="12"/>
        <v>0</v>
      </c>
      <c r="S16" s="44">
        <f t="shared" si="13"/>
        <v>0</v>
      </c>
      <c r="T16" s="43">
        <f t="shared" si="14"/>
        <v>0</v>
      </c>
      <c r="U16" s="44">
        <f t="shared" si="15"/>
        <v>0</v>
      </c>
      <c r="V16" s="43">
        <f t="shared" si="16"/>
        <v>0</v>
      </c>
      <c r="W16" s="44">
        <f t="shared" si="17"/>
        <v>0</v>
      </c>
      <c r="X16" s="43">
        <f t="shared" si="18"/>
        <v>0</v>
      </c>
      <c r="Y16" s="44">
        <f t="shared" si="19"/>
        <v>0</v>
      </c>
      <c r="Z16" s="43">
        <f t="shared" si="20"/>
        <v>0</v>
      </c>
      <c r="AA16" s="44">
        <f t="shared" si="21"/>
        <v>0</v>
      </c>
      <c r="AB16" s="43">
        <f t="shared" si="22"/>
        <v>0</v>
      </c>
      <c r="AC16" s="44">
        <f t="shared" si="23"/>
        <v>0</v>
      </c>
      <c r="AD16" s="43">
        <f t="shared" si="24"/>
        <v>0</v>
      </c>
      <c r="AE16" s="44">
        <f t="shared" si="25"/>
        <v>0</v>
      </c>
      <c r="AF16" s="43">
        <f t="shared" si="26"/>
        <v>0</v>
      </c>
      <c r="AG16" s="44">
        <f t="shared" si="27"/>
        <v>0</v>
      </c>
      <c r="AH16" s="43">
        <f t="shared" si="28"/>
        <v>7</v>
      </c>
      <c r="AI16" s="44">
        <f t="shared" si="29"/>
        <v>7</v>
      </c>
      <c r="AK16" s="288" t="str">
        <f>IF(AN16=" "," ",F16)</f>
        <v> </v>
      </c>
      <c r="AL16" s="289" t="str">
        <f>IF(AN16=" "," ",G16)</f>
        <v> </v>
      </c>
      <c r="AM16" s="36" t="str">
        <f>IF(H16&lt;1," ",H16)</f>
        <v> </v>
      </c>
      <c r="AN16" s="66" t="str">
        <f>IF(I16=0," ",IF(I16&lt;1,"-",I16))</f>
        <v> </v>
      </c>
    </row>
    <row r="17" spans="1:40" ht="25.5">
      <c r="A17" s="307">
        <f>'liste améliorations'!A17</f>
        <v>6</v>
      </c>
      <c r="B17" s="2"/>
      <c r="C17" s="72" t="str">
        <f>'liste améliorations'!B17</f>
        <v>Réisoler la chaudière, et par la suite, envisager son remplacement</v>
      </c>
      <c r="D17" s="78"/>
      <c r="E17" s="469" t="str">
        <f>'liste améliorations'!B18</f>
        <v>2 à 5%</v>
      </c>
      <c r="F17" s="290">
        <f>'liste améliorations'!C17</f>
        <v>1</v>
      </c>
      <c r="G17" s="291">
        <f>'liste améliorations'!D17</f>
        <v>3</v>
      </c>
      <c r="H17" s="433">
        <f>IF(OR('liens Q R'!K34=2,'liens Q R'!K35=2),MAX('liens Q R'!L34,'liens Q R'!L35),IF(OR('liens Q R'!K34=3,'liens Q R'!K35=3),0.05,0))</f>
        <v>0</v>
      </c>
      <c r="I17" s="441">
        <f t="shared" si="0"/>
        <v>0</v>
      </c>
      <c r="K17" s="46">
        <f t="shared" si="1"/>
        <v>8</v>
      </c>
      <c r="L17" s="43">
        <f t="shared" si="6"/>
        <v>0</v>
      </c>
      <c r="M17" s="44">
        <f t="shared" si="7"/>
        <v>0</v>
      </c>
      <c r="N17" s="43">
        <f t="shared" si="8"/>
        <v>0</v>
      </c>
      <c r="O17" s="44">
        <f t="shared" si="9"/>
        <v>0</v>
      </c>
      <c r="P17" s="43">
        <f t="shared" si="10"/>
        <v>0</v>
      </c>
      <c r="Q17" s="44">
        <f t="shared" si="11"/>
        <v>0</v>
      </c>
      <c r="R17" s="43">
        <f t="shared" si="12"/>
        <v>0</v>
      </c>
      <c r="S17" s="44">
        <f t="shared" si="13"/>
        <v>0</v>
      </c>
      <c r="T17" s="43">
        <f t="shared" si="14"/>
        <v>0</v>
      </c>
      <c r="U17" s="44">
        <f t="shared" si="15"/>
        <v>0</v>
      </c>
      <c r="V17" s="43">
        <f t="shared" si="16"/>
        <v>0</v>
      </c>
      <c r="W17" s="44">
        <f t="shared" si="17"/>
        <v>0</v>
      </c>
      <c r="X17" s="43">
        <f t="shared" si="18"/>
        <v>0</v>
      </c>
      <c r="Y17" s="44">
        <f t="shared" si="19"/>
        <v>0</v>
      </c>
      <c r="Z17" s="43">
        <f t="shared" si="20"/>
        <v>0</v>
      </c>
      <c r="AA17" s="44">
        <f t="shared" si="21"/>
        <v>0</v>
      </c>
      <c r="AB17" s="43">
        <f t="shared" si="22"/>
        <v>0</v>
      </c>
      <c r="AC17" s="44">
        <f t="shared" si="23"/>
        <v>0</v>
      </c>
      <c r="AD17" s="43">
        <f t="shared" si="24"/>
        <v>0</v>
      </c>
      <c r="AE17" s="44">
        <f t="shared" si="25"/>
        <v>0</v>
      </c>
      <c r="AF17" s="43">
        <f t="shared" si="26"/>
        <v>0</v>
      </c>
      <c r="AG17" s="44">
        <f t="shared" si="27"/>
        <v>0</v>
      </c>
      <c r="AH17" s="43">
        <f t="shared" si="28"/>
        <v>8</v>
      </c>
      <c r="AI17" s="44">
        <f t="shared" si="29"/>
        <v>8</v>
      </c>
      <c r="AK17" s="288" t="str">
        <f t="shared" si="2"/>
        <v> </v>
      </c>
      <c r="AL17" s="289" t="str">
        <f t="shared" si="3"/>
        <v> </v>
      </c>
      <c r="AM17" s="36" t="str">
        <f t="shared" si="4"/>
        <v> </v>
      </c>
      <c r="AN17" s="66" t="str">
        <f t="shared" si="5"/>
        <v> </v>
      </c>
    </row>
    <row r="18" spans="1:40" ht="25.5">
      <c r="A18" s="307">
        <f>'liste améliorations'!A25</f>
        <v>10</v>
      </c>
      <c r="B18" s="2"/>
      <c r="C18" s="72" t="str">
        <f>'liste améliorations'!B25</f>
        <v>Corriger le raccordement électrique du brûleur ou débloquer le clapet pour qu'il se ferme</v>
      </c>
      <c r="D18" s="78" t="s">
        <v>213</v>
      </c>
      <c r="E18" s="469" t="str">
        <f>'liste améliorations'!B26</f>
        <v>   </v>
      </c>
      <c r="F18" s="290">
        <f>'liste améliorations'!C25</f>
        <v>1</v>
      </c>
      <c r="G18" s="291">
        <f>'liste améliorations'!D25</f>
        <v>3</v>
      </c>
      <c r="H18" s="433">
        <f>IF(AND('liens Q R'!K39=2,'liens Q R'!K41=1),'liens Q R'!L39,IF(AND(OR('liens Q R'!K39=2,'liens Q R'!K39=3),OR('liens Q R'!K41=1,'liens Q R'!K41=3)),0.05,0))</f>
        <v>0</v>
      </c>
      <c r="I18" s="441">
        <f>+F18*G18*H18</f>
        <v>0</v>
      </c>
      <c r="K18" s="46">
        <f t="shared" si="1"/>
        <v>9</v>
      </c>
      <c r="L18" s="43">
        <f t="shared" si="6"/>
        <v>0</v>
      </c>
      <c r="M18" s="44">
        <f t="shared" si="7"/>
        <v>0</v>
      </c>
      <c r="N18" s="43">
        <f t="shared" si="8"/>
        <v>0</v>
      </c>
      <c r="O18" s="44">
        <f t="shared" si="9"/>
        <v>0</v>
      </c>
      <c r="P18" s="43">
        <f t="shared" si="10"/>
        <v>0</v>
      </c>
      <c r="Q18" s="44">
        <f t="shared" si="11"/>
        <v>0</v>
      </c>
      <c r="R18" s="43">
        <f t="shared" si="12"/>
        <v>0</v>
      </c>
      <c r="S18" s="44">
        <f t="shared" si="13"/>
        <v>0</v>
      </c>
      <c r="T18" s="43">
        <f t="shared" si="14"/>
        <v>0</v>
      </c>
      <c r="U18" s="44">
        <f t="shared" si="15"/>
        <v>0</v>
      </c>
      <c r="V18" s="43">
        <f t="shared" si="16"/>
        <v>0</v>
      </c>
      <c r="W18" s="44">
        <f t="shared" si="17"/>
        <v>0</v>
      </c>
      <c r="X18" s="43">
        <f t="shared" si="18"/>
        <v>0</v>
      </c>
      <c r="Y18" s="44">
        <f t="shared" si="19"/>
        <v>0</v>
      </c>
      <c r="Z18" s="43">
        <f t="shared" si="20"/>
        <v>0</v>
      </c>
      <c r="AA18" s="44">
        <f t="shared" si="21"/>
        <v>0</v>
      </c>
      <c r="AB18" s="43">
        <f t="shared" si="22"/>
        <v>0</v>
      </c>
      <c r="AC18" s="44">
        <f t="shared" si="23"/>
        <v>0</v>
      </c>
      <c r="AD18" s="43">
        <f t="shared" si="24"/>
        <v>0</v>
      </c>
      <c r="AE18" s="44">
        <f t="shared" si="25"/>
        <v>0</v>
      </c>
      <c r="AF18" s="43">
        <f t="shared" si="26"/>
        <v>0</v>
      </c>
      <c r="AG18" s="44">
        <f t="shared" si="27"/>
        <v>0</v>
      </c>
      <c r="AH18" s="43">
        <f t="shared" si="28"/>
        <v>9</v>
      </c>
      <c r="AI18" s="44">
        <f t="shared" si="29"/>
        <v>9</v>
      </c>
      <c r="AK18" s="288" t="str">
        <f>IF(AN18=" "," ",F18)</f>
        <v> </v>
      </c>
      <c r="AL18" s="289" t="str">
        <f>IF(AN18=" "," ",G18)</f>
        <v> </v>
      </c>
      <c r="AM18" s="36" t="str">
        <f>IF(H18&lt;1," ",H18)</f>
        <v> </v>
      </c>
      <c r="AN18" s="66" t="str">
        <f>IF(I18=0," ",IF(I18&lt;1,"-",I18))</f>
        <v> </v>
      </c>
    </row>
    <row r="19" spans="1:40" ht="114.75">
      <c r="A19" s="307">
        <f>'liste améliorations'!A9</f>
        <v>2</v>
      </c>
      <c r="B19" s="2"/>
      <c r="C19" s="72" t="str">
        <f>'liste améliorations'!B9</f>
        <v>Remplacer le brûleur </v>
      </c>
      <c r="D19" s="79" t="s">
        <v>107</v>
      </c>
      <c r="E19" s="469" t="str">
        <f>'liste améliorations'!B10</f>
        <v>3%... 10%</v>
      </c>
      <c r="F19" s="290">
        <f>'liste améliorations'!C9</f>
        <v>2</v>
      </c>
      <c r="G19" s="291">
        <f>'liste améliorations'!D9</f>
        <v>2</v>
      </c>
      <c r="H19" s="433">
        <f>IF(OR(AND('liens Q R'!K39=2,'liens Q R'!K41=2),'liens Q R'!K66=2,AND('liens Q R'!K66=1,'liens Q R'!K68=2)),MAX('liens Q R'!L39,'liens Q R'!L41,'liens Q R'!L66,'liens Q R'!L68),IF(OR(AND(OR('liens Q R'!K39=2,'liens Q R'!K39=3),OR('liens Q R'!K41=2,'liens Q R'!K41=3)),'liens Q R'!K66=3,AND('liens Q R'!K66=1,'liens Q R'!K68=3)),0.05,0))</f>
        <v>0</v>
      </c>
      <c r="I19" s="441">
        <f t="shared" si="0"/>
        <v>0</v>
      </c>
      <c r="K19" s="46">
        <f t="shared" si="1"/>
        <v>10</v>
      </c>
      <c r="L19" s="43">
        <f t="shared" si="6"/>
        <v>0</v>
      </c>
      <c r="M19" s="44">
        <f t="shared" si="7"/>
        <v>0</v>
      </c>
      <c r="N19" s="43">
        <f t="shared" si="8"/>
        <v>0</v>
      </c>
      <c r="O19" s="44">
        <f t="shared" si="9"/>
        <v>0</v>
      </c>
      <c r="P19" s="43">
        <f t="shared" si="10"/>
        <v>0</v>
      </c>
      <c r="Q19" s="44">
        <f t="shared" si="11"/>
        <v>0</v>
      </c>
      <c r="R19" s="43">
        <f t="shared" si="12"/>
        <v>0</v>
      </c>
      <c r="S19" s="44">
        <f t="shared" si="13"/>
        <v>0</v>
      </c>
      <c r="T19" s="43">
        <f t="shared" si="14"/>
        <v>0</v>
      </c>
      <c r="U19" s="44">
        <f t="shared" si="15"/>
        <v>0</v>
      </c>
      <c r="V19" s="43">
        <f t="shared" si="16"/>
        <v>0</v>
      </c>
      <c r="W19" s="44">
        <f t="shared" si="17"/>
        <v>0</v>
      </c>
      <c r="X19" s="43">
        <f t="shared" si="18"/>
        <v>0</v>
      </c>
      <c r="Y19" s="44">
        <f t="shared" si="19"/>
        <v>0</v>
      </c>
      <c r="Z19" s="43">
        <f t="shared" si="20"/>
        <v>0</v>
      </c>
      <c r="AA19" s="44">
        <f t="shared" si="21"/>
        <v>0</v>
      </c>
      <c r="AB19" s="43">
        <f t="shared" si="22"/>
        <v>0</v>
      </c>
      <c r="AC19" s="44">
        <f t="shared" si="23"/>
        <v>0</v>
      </c>
      <c r="AD19" s="43">
        <f t="shared" si="24"/>
        <v>0</v>
      </c>
      <c r="AE19" s="44">
        <f t="shared" si="25"/>
        <v>0</v>
      </c>
      <c r="AF19" s="43">
        <f t="shared" si="26"/>
        <v>0</v>
      </c>
      <c r="AG19" s="44">
        <f t="shared" si="27"/>
        <v>0</v>
      </c>
      <c r="AH19" s="43">
        <f t="shared" si="28"/>
        <v>10</v>
      </c>
      <c r="AI19" s="44">
        <f t="shared" si="29"/>
        <v>10</v>
      </c>
      <c r="AK19" s="288" t="str">
        <f t="shared" si="2"/>
        <v> </v>
      </c>
      <c r="AL19" s="289" t="str">
        <f t="shared" si="3"/>
        <v> </v>
      </c>
      <c r="AM19" s="36" t="str">
        <f t="shared" si="4"/>
        <v> </v>
      </c>
      <c r="AN19" s="66" t="str">
        <f t="shared" si="5"/>
        <v> </v>
      </c>
    </row>
    <row r="20" spans="1:40" ht="25.5">
      <c r="A20" s="307">
        <f>'liste améliorations'!A29</f>
        <v>12</v>
      </c>
      <c r="B20" s="2"/>
      <c r="C20" s="72" t="str">
        <f>'liste améliorations'!B29</f>
        <v>Equiper les chaudières pour pouvoir piloter chaudières et brûleurs en cascade</v>
      </c>
      <c r="D20" s="78"/>
      <c r="E20" s="469" t="str">
        <f>'liste améliorations'!B30</f>
        <v>0,5% à 2%</v>
      </c>
      <c r="F20" s="290">
        <f>'liste améliorations'!C29</f>
        <v>1</v>
      </c>
      <c r="G20" s="291">
        <f>'liste améliorations'!D29</f>
        <v>1</v>
      </c>
      <c r="H20" s="433">
        <f>'liens Q R'!L57</f>
        <v>0</v>
      </c>
      <c r="I20" s="441">
        <f t="shared" si="0"/>
        <v>0</v>
      </c>
      <c r="J20" s="59"/>
      <c r="K20" s="46">
        <f t="shared" si="1"/>
        <v>11</v>
      </c>
      <c r="L20" s="43">
        <f t="shared" si="6"/>
        <v>0</v>
      </c>
      <c r="M20" s="44">
        <f t="shared" si="7"/>
        <v>0</v>
      </c>
      <c r="N20" s="43">
        <f t="shared" si="8"/>
        <v>0</v>
      </c>
      <c r="O20" s="44">
        <f t="shared" si="9"/>
        <v>0</v>
      </c>
      <c r="P20" s="43">
        <f t="shared" si="10"/>
        <v>0</v>
      </c>
      <c r="Q20" s="44">
        <f t="shared" si="11"/>
        <v>0</v>
      </c>
      <c r="R20" s="43">
        <f t="shared" si="12"/>
        <v>0</v>
      </c>
      <c r="S20" s="44">
        <f t="shared" si="13"/>
        <v>0</v>
      </c>
      <c r="T20" s="43">
        <f t="shared" si="14"/>
        <v>0</v>
      </c>
      <c r="U20" s="44">
        <f t="shared" si="15"/>
        <v>0</v>
      </c>
      <c r="V20" s="43">
        <f t="shared" si="16"/>
        <v>0</v>
      </c>
      <c r="W20" s="44">
        <f t="shared" si="17"/>
        <v>0</v>
      </c>
      <c r="X20" s="43">
        <f t="shared" si="18"/>
        <v>0</v>
      </c>
      <c r="Y20" s="44">
        <f t="shared" si="19"/>
        <v>0</v>
      </c>
      <c r="Z20" s="43">
        <f t="shared" si="20"/>
        <v>0</v>
      </c>
      <c r="AA20" s="44">
        <f t="shared" si="21"/>
        <v>0</v>
      </c>
      <c r="AB20" s="43">
        <f t="shared" si="22"/>
        <v>0</v>
      </c>
      <c r="AC20" s="44">
        <f t="shared" si="23"/>
        <v>0</v>
      </c>
      <c r="AD20" s="43">
        <f t="shared" si="24"/>
        <v>0</v>
      </c>
      <c r="AE20" s="44">
        <f t="shared" si="25"/>
        <v>0</v>
      </c>
      <c r="AF20" s="43">
        <f t="shared" si="26"/>
        <v>0</v>
      </c>
      <c r="AG20" s="44">
        <f t="shared" si="27"/>
        <v>0</v>
      </c>
      <c r="AH20" s="43">
        <f t="shared" si="28"/>
        <v>11</v>
      </c>
      <c r="AI20" s="44">
        <f t="shared" si="29"/>
        <v>11</v>
      </c>
      <c r="AK20" s="288" t="str">
        <f t="shared" si="2"/>
        <v> </v>
      </c>
      <c r="AL20" s="289" t="str">
        <f t="shared" si="3"/>
        <v> </v>
      </c>
      <c r="AM20" s="36" t="str">
        <f t="shared" si="4"/>
        <v> </v>
      </c>
      <c r="AN20" s="66" t="str">
        <f t="shared" si="5"/>
        <v> </v>
      </c>
    </row>
    <row r="21" spans="1:40" ht="12.75">
      <c r="A21" s="307">
        <f>'liste améliorations'!A27</f>
        <v>11</v>
      </c>
      <c r="B21" s="2"/>
      <c r="C21" s="72" t="str">
        <f>'liste améliorations'!B27</f>
        <v>Etudier la faisabilité de la cogénération</v>
      </c>
      <c r="D21" s="78"/>
      <c r="E21" s="469" t="str">
        <f>'liste améliorations'!B28</f>
        <v>15 à 20 % d'économie potentielle sur l'énergie primaire totale de fonctionnement du bâtiment - Jusqu'à 50% d'économie sur la facture électrique. Rentabilité faible pour des bureaux et élevée pour les hôpitaux</v>
      </c>
      <c r="F21" s="290">
        <f>'liste améliorations'!C27</f>
        <v>2</v>
      </c>
      <c r="G21" s="291">
        <f>'liste améliorations'!D27</f>
        <v>1</v>
      </c>
      <c r="H21" s="433">
        <f>'liens Q R'!L79</f>
        <v>0</v>
      </c>
      <c r="I21" s="441">
        <f t="shared" si="0"/>
        <v>0</v>
      </c>
      <c r="K21" s="46">
        <f t="shared" si="1"/>
        <v>12</v>
      </c>
      <c r="L21" s="43">
        <f t="shared" si="6"/>
        <v>0</v>
      </c>
      <c r="M21" s="44">
        <f t="shared" si="7"/>
        <v>0</v>
      </c>
      <c r="N21" s="43">
        <f t="shared" si="8"/>
        <v>0</v>
      </c>
      <c r="O21" s="44">
        <f t="shared" si="9"/>
        <v>0</v>
      </c>
      <c r="P21" s="43">
        <f t="shared" si="10"/>
        <v>0</v>
      </c>
      <c r="Q21" s="44">
        <f t="shared" si="11"/>
        <v>0</v>
      </c>
      <c r="R21" s="43">
        <f t="shared" si="12"/>
        <v>0</v>
      </c>
      <c r="S21" s="44">
        <f t="shared" si="13"/>
        <v>0</v>
      </c>
      <c r="T21" s="43">
        <f t="shared" si="14"/>
        <v>0</v>
      </c>
      <c r="U21" s="44">
        <f t="shared" si="15"/>
        <v>0</v>
      </c>
      <c r="V21" s="43">
        <f t="shared" si="16"/>
        <v>0</v>
      </c>
      <c r="W21" s="44">
        <f t="shared" si="17"/>
        <v>0</v>
      </c>
      <c r="X21" s="43">
        <f t="shared" si="18"/>
        <v>0</v>
      </c>
      <c r="Y21" s="44">
        <f t="shared" si="19"/>
        <v>0</v>
      </c>
      <c r="Z21" s="43">
        <f t="shared" si="20"/>
        <v>0</v>
      </c>
      <c r="AA21" s="44">
        <f t="shared" si="21"/>
        <v>0</v>
      </c>
      <c r="AB21" s="43">
        <f t="shared" si="22"/>
        <v>0</v>
      </c>
      <c r="AC21" s="44">
        <f t="shared" si="23"/>
        <v>0</v>
      </c>
      <c r="AD21" s="43">
        <f t="shared" si="24"/>
        <v>0</v>
      </c>
      <c r="AE21" s="44">
        <f t="shared" si="25"/>
        <v>0</v>
      </c>
      <c r="AF21" s="43">
        <f t="shared" si="26"/>
        <v>0</v>
      </c>
      <c r="AG21" s="44">
        <f t="shared" si="27"/>
        <v>0</v>
      </c>
      <c r="AH21" s="43">
        <f t="shared" si="28"/>
        <v>12</v>
      </c>
      <c r="AI21" s="44">
        <f t="shared" si="29"/>
        <v>12</v>
      </c>
      <c r="AK21" s="288" t="str">
        <f t="shared" si="2"/>
        <v> </v>
      </c>
      <c r="AL21" s="289" t="str">
        <f t="shared" si="3"/>
        <v> </v>
      </c>
      <c r="AM21" s="36" t="str">
        <f t="shared" si="4"/>
        <v> </v>
      </c>
      <c r="AN21" s="66" t="str">
        <f t="shared" si="5"/>
        <v> </v>
      </c>
    </row>
    <row r="22" spans="1:40" ht="51">
      <c r="A22" s="307">
        <f>'liste améliorations'!A31</f>
        <v>13</v>
      </c>
      <c r="B22" s="2"/>
      <c r="C22" s="72" t="str">
        <f>'liste améliorations'!B31</f>
        <v>Si le rendement reste inférieur à 88% après avoir effectué les améliorations possibles (colmaté et nettoyé la chaudière, régulé le tirage, diminué la puissance du brûleur),remplacer la chaudière et le brûleur</v>
      </c>
      <c r="D22" s="78" t="s">
        <v>214</v>
      </c>
      <c r="E22" s="469" t="str">
        <f>'liste améliorations'!B32</f>
        <v>   </v>
      </c>
      <c r="F22" s="290" t="str">
        <f>'liste améliorations'!C31</f>
        <v>-</v>
      </c>
      <c r="G22" s="291" t="str">
        <f>'liste améliorations'!D31</f>
        <v>-</v>
      </c>
      <c r="H22" s="433">
        <f>IF(AND('liens Q R'!K10=2,OR('liens Q R'!K16=2,'liens Q R'!K18=2,'liens Q R'!K21=2,'liens Q R'!K22=2,'liens Q R'!K26=2)),1,0)</f>
        <v>0</v>
      </c>
      <c r="I22" s="441">
        <f>H22</f>
        <v>0</v>
      </c>
      <c r="K22" s="46">
        <f t="shared" si="1"/>
        <v>13</v>
      </c>
      <c r="L22" s="43">
        <f t="shared" si="6"/>
        <v>0</v>
      </c>
      <c r="M22" s="44">
        <f t="shared" si="7"/>
        <v>0</v>
      </c>
      <c r="N22" s="43">
        <f t="shared" si="8"/>
        <v>0</v>
      </c>
      <c r="O22" s="44">
        <f t="shared" si="9"/>
        <v>0</v>
      </c>
      <c r="P22" s="43">
        <f t="shared" si="10"/>
        <v>0</v>
      </c>
      <c r="Q22" s="44">
        <f t="shared" si="11"/>
        <v>0</v>
      </c>
      <c r="R22" s="43">
        <f t="shared" si="12"/>
        <v>0</v>
      </c>
      <c r="S22" s="44">
        <f t="shared" si="13"/>
        <v>0</v>
      </c>
      <c r="T22" s="43">
        <f t="shared" si="14"/>
        <v>0</v>
      </c>
      <c r="U22" s="44">
        <f t="shared" si="15"/>
        <v>0</v>
      </c>
      <c r="V22" s="43">
        <f t="shared" si="16"/>
        <v>0</v>
      </c>
      <c r="W22" s="44">
        <f t="shared" si="17"/>
        <v>0</v>
      </c>
      <c r="X22" s="43">
        <f t="shared" si="18"/>
        <v>0</v>
      </c>
      <c r="Y22" s="44">
        <f t="shared" si="19"/>
        <v>0</v>
      </c>
      <c r="Z22" s="43">
        <f t="shared" si="20"/>
        <v>0</v>
      </c>
      <c r="AA22" s="44">
        <f t="shared" si="21"/>
        <v>0</v>
      </c>
      <c r="AB22" s="43">
        <f t="shared" si="22"/>
        <v>0</v>
      </c>
      <c r="AC22" s="44">
        <f t="shared" si="23"/>
        <v>0</v>
      </c>
      <c r="AD22" s="43">
        <f t="shared" si="24"/>
        <v>0</v>
      </c>
      <c r="AE22" s="44">
        <f t="shared" si="25"/>
        <v>0</v>
      </c>
      <c r="AF22" s="43">
        <f t="shared" si="26"/>
        <v>0</v>
      </c>
      <c r="AG22" s="44">
        <f t="shared" si="27"/>
        <v>0</v>
      </c>
      <c r="AH22" s="43">
        <f t="shared" si="28"/>
        <v>13</v>
      </c>
      <c r="AI22" s="44">
        <f t="shared" si="29"/>
        <v>13</v>
      </c>
      <c r="AK22" s="288" t="str">
        <f>IF(AN22=" "," ",F22)</f>
        <v> </v>
      </c>
      <c r="AL22" s="289" t="str">
        <f>IF(AN22=" "," ",G22)</f>
        <v> </v>
      </c>
      <c r="AM22" s="36" t="str">
        <f>IF(H22&lt;1," ",H22)</f>
        <v> </v>
      </c>
      <c r="AN22" s="66" t="str">
        <f>IF(I22=0," ",IF(I22&lt;1,"-",I22))</f>
        <v> </v>
      </c>
    </row>
    <row r="23" spans="3:40" ht="12.75">
      <c r="C23" s="303"/>
      <c r="D23" s="303"/>
      <c r="F23" s="292"/>
      <c r="G23" s="292"/>
      <c r="I23" s="430"/>
      <c r="K23" s="46"/>
      <c r="AK23" s="292"/>
      <c r="AL23" s="292"/>
      <c r="AN23" s="8"/>
    </row>
    <row r="24" spans="1:11" ht="12.75">
      <c r="A24" s="306"/>
      <c r="C24" s="314"/>
      <c r="D24" s="314"/>
      <c r="E24" s="467"/>
      <c r="I24" s="430"/>
      <c r="K24" s="46"/>
    </row>
    <row r="25" spans="1:40" s="2" customFormat="1" ht="12.75">
      <c r="A25" s="308" t="s">
        <v>21</v>
      </c>
      <c r="B25" s="1"/>
      <c r="C25" s="315"/>
      <c r="D25" s="315"/>
      <c r="E25" s="470"/>
      <c r="F25" s="15"/>
      <c r="G25" s="16"/>
      <c r="H25" s="434"/>
      <c r="I25" s="441"/>
      <c r="K25" s="46"/>
      <c r="AK25" s="15"/>
      <c r="AL25" s="16"/>
      <c r="AM25" s="6"/>
      <c r="AN25" s="66"/>
    </row>
    <row r="26" spans="1:40" ht="25.5">
      <c r="A26" s="307">
        <f>'liste améliorations'!A59</f>
        <v>13</v>
      </c>
      <c r="C26" s="72" t="str">
        <f>'liste améliorations'!B59</f>
        <v>Améliorer le réseau hydraulique pour valoriser la chaudière à condensation</v>
      </c>
      <c r="D26" s="299"/>
      <c r="E26" s="471" t="str">
        <f>'liste améliorations'!B60</f>
        <v>… 6...% de la consommation de chauffage</v>
      </c>
      <c r="F26" s="290">
        <f>'liste améliorations'!C59</f>
        <v>2</v>
      </c>
      <c r="G26" s="291">
        <f>'liste améliorations'!D59</f>
        <v>1</v>
      </c>
      <c r="H26" s="435">
        <f>'liens Q R'!L74</f>
        <v>0</v>
      </c>
      <c r="I26" s="441">
        <f aca="true" t="shared" si="30" ref="I26:I37">+F26*G26*H26</f>
        <v>0</v>
      </c>
      <c r="K26" s="46">
        <f aca="true" t="shared" si="31" ref="K26:K38">L26+N26+P26+R26+T26+V26+X26+Z26+AB26+AD26+AF26+AH26</f>
        <v>1</v>
      </c>
      <c r="L26" s="43">
        <f>IF(I26=27,1,0)</f>
        <v>0</v>
      </c>
      <c r="M26" s="44">
        <f>IF(I26=27,1,0)</f>
        <v>0</v>
      </c>
      <c r="N26" s="43">
        <f>IF($I26=N$9,M38+1,0)</f>
        <v>0</v>
      </c>
      <c r="O26" s="44">
        <f>IF($I26=N$9,N26,M38)</f>
        <v>0</v>
      </c>
      <c r="P26" s="43">
        <f>IF($I26=P$9,O38+1,0)</f>
        <v>0</v>
      </c>
      <c r="Q26" s="44">
        <f>IF($I26=P$9,P26,O38)</f>
        <v>0</v>
      </c>
      <c r="R26" s="43">
        <f>IF($I26=R$9,Q38+1,0)</f>
        <v>0</v>
      </c>
      <c r="S26" s="44">
        <f>IF($I26=R$9,R26,Q38)</f>
        <v>0</v>
      </c>
      <c r="T26" s="43">
        <f>IF($I26=T$9,S38+1,0)</f>
        <v>0</v>
      </c>
      <c r="U26" s="44">
        <f>IF($I26=T$9,T26,S38)</f>
        <v>0</v>
      </c>
      <c r="V26" s="43">
        <f>IF($I26=V$9,U38+1,0)</f>
        <v>0</v>
      </c>
      <c r="W26" s="44">
        <f>IF($I26=V$9,V26,U38)</f>
        <v>0</v>
      </c>
      <c r="X26" s="43">
        <f>IF($I26=X$9,W38+1,0)</f>
        <v>0</v>
      </c>
      <c r="Y26" s="44">
        <f>IF($I26=X$9,X26,W38)</f>
        <v>0</v>
      </c>
      <c r="Z26" s="43">
        <f>IF($I26=Z$9,Y38+1,0)</f>
        <v>0</v>
      </c>
      <c r="AA26" s="44">
        <f>IF($I26=Z$9,Z26,Y38)</f>
        <v>0</v>
      </c>
      <c r="AB26" s="43">
        <f>IF($I26=AB$9,AA38+1,0)</f>
        <v>0</v>
      </c>
      <c r="AC26" s="44">
        <f>IF($I26=AB$9,AB26,AA38)</f>
        <v>0</v>
      </c>
      <c r="AD26" s="43">
        <f>IF($I26=AD$9,AC38+1,0)</f>
        <v>0</v>
      </c>
      <c r="AE26" s="44">
        <f>IF($I26=AD$9,AD26,AC38)</f>
        <v>0</v>
      </c>
      <c r="AF26" s="43">
        <f>IF(AND($I26&gt;0,$I26&lt;1),AE38+1,0)</f>
        <v>0</v>
      </c>
      <c r="AG26" s="44">
        <f>IF(AND($I26&gt;0,$I26&lt;1),AF26,AE38)</f>
        <v>0</v>
      </c>
      <c r="AH26" s="43">
        <f>IF($I26=AH$9,AG38+1,0)</f>
        <v>1</v>
      </c>
      <c r="AI26" s="44">
        <f>IF($I26=AH$9,AH26,AG38)</f>
        <v>1</v>
      </c>
      <c r="AK26" s="288" t="str">
        <f aca="true" t="shared" si="32" ref="AK26:AK36">IF(AN26=" "," ",F26)</f>
        <v> </v>
      </c>
      <c r="AL26" s="289" t="str">
        <f aca="true" t="shared" si="33" ref="AL26:AL36">IF(AN26=" "," ",G26)</f>
        <v> </v>
      </c>
      <c r="AM26" s="36" t="str">
        <f aca="true" t="shared" si="34" ref="AM26:AM36">IF(H26&lt;1," ",H26)</f>
        <v> </v>
      </c>
      <c r="AN26" s="66" t="str">
        <f aca="true" t="shared" si="35" ref="AN26:AN36">IF(I26=0," ",IF(I26&lt;1,"-",I26))</f>
        <v> </v>
      </c>
    </row>
    <row r="27" spans="1:40" s="2" customFormat="1" ht="38.25">
      <c r="A27" s="307">
        <f>'liste améliorations'!A35</f>
        <v>1</v>
      </c>
      <c r="B27" s="1"/>
      <c r="C27" s="72" t="str">
        <f>'liste améliorations'!B35</f>
        <v>Isoler les conduites (ainsi que les vannes) dans les locaux non chauffés en permanence (gaines techniques, faux-plafonds, …)</v>
      </c>
      <c r="D27" s="79"/>
      <c r="E27" s="471" t="str">
        <f>'liste améliorations'!B36</f>
        <v>90% des pertes de la conduite</v>
      </c>
      <c r="F27" s="290">
        <f>'liste améliorations'!C35</f>
        <v>3</v>
      </c>
      <c r="G27" s="291">
        <f>'liste améliorations'!D35</f>
        <v>3</v>
      </c>
      <c r="H27" s="435">
        <f>'liens Q R'!L87</f>
        <v>0</v>
      </c>
      <c r="I27" s="441">
        <f t="shared" si="30"/>
        <v>0</v>
      </c>
      <c r="K27" s="46">
        <f t="shared" si="31"/>
        <v>2</v>
      </c>
      <c r="L27" s="43">
        <f aca="true" t="shared" si="36" ref="L27:L38">IF($I27=L$9,M26+1,0)</f>
        <v>0</v>
      </c>
      <c r="M27" s="44">
        <f aca="true" t="shared" si="37" ref="M27:M38">IF($I27=L$9,L27,M26)</f>
        <v>0</v>
      </c>
      <c r="N27" s="43">
        <f aca="true" t="shared" si="38" ref="N27:N38">IF($I27=N$9,O26+1,0)</f>
        <v>0</v>
      </c>
      <c r="O27" s="44">
        <f aca="true" t="shared" si="39" ref="O27:O38">IF($I27=N$9,N27,O26)</f>
        <v>0</v>
      </c>
      <c r="P27" s="43">
        <f aca="true" t="shared" si="40" ref="P27:P38">IF($I27=P$9,Q26+1,0)</f>
        <v>0</v>
      </c>
      <c r="Q27" s="44">
        <f aca="true" t="shared" si="41" ref="Q27:Q38">IF($I27=P$9,P27,Q26)</f>
        <v>0</v>
      </c>
      <c r="R27" s="43">
        <f aca="true" t="shared" si="42" ref="R27:R38">IF($I27=R$9,S26+1,0)</f>
        <v>0</v>
      </c>
      <c r="S27" s="44">
        <f aca="true" t="shared" si="43" ref="S27:S38">IF($I27=R$9,R27,S26)</f>
        <v>0</v>
      </c>
      <c r="T27" s="43">
        <f aca="true" t="shared" si="44" ref="T27:T38">IF($I27=T$9,U26+1,0)</f>
        <v>0</v>
      </c>
      <c r="U27" s="44">
        <f aca="true" t="shared" si="45" ref="U27:U38">IF($I27=T$9,T27,U26)</f>
        <v>0</v>
      </c>
      <c r="V27" s="43">
        <f aca="true" t="shared" si="46" ref="V27:V38">IF($I27=V$9,W26+1,0)</f>
        <v>0</v>
      </c>
      <c r="W27" s="44">
        <f aca="true" t="shared" si="47" ref="W27:W38">IF($I27=V$9,V27,W26)</f>
        <v>0</v>
      </c>
      <c r="X27" s="43">
        <f aca="true" t="shared" si="48" ref="X27:X38">IF($I27=X$9,Y26+1,0)</f>
        <v>0</v>
      </c>
      <c r="Y27" s="44">
        <f aca="true" t="shared" si="49" ref="Y27:Y38">IF($I27=X$9,X27,Y26)</f>
        <v>0</v>
      </c>
      <c r="Z27" s="43">
        <f aca="true" t="shared" si="50" ref="Z27:Z38">IF($I27=Z$9,AA26+1,0)</f>
        <v>0</v>
      </c>
      <c r="AA27" s="44">
        <f aca="true" t="shared" si="51" ref="AA27:AA38">IF($I27=Z$9,Z27,AA26)</f>
        <v>0</v>
      </c>
      <c r="AB27" s="43">
        <f aca="true" t="shared" si="52" ref="AB27:AB38">IF($I27=AB$9,AC26+1,0)</f>
        <v>0</v>
      </c>
      <c r="AC27" s="44">
        <f aca="true" t="shared" si="53" ref="AC27:AC38">IF($I27=AB$9,AB27,AC26)</f>
        <v>0</v>
      </c>
      <c r="AD27" s="43">
        <f aca="true" t="shared" si="54" ref="AD27:AD38">IF($I27=AD$9,AE26+1,0)</f>
        <v>0</v>
      </c>
      <c r="AE27" s="44">
        <f aca="true" t="shared" si="55" ref="AE27:AE38">IF($I27=AD$9,AD27,AE26)</f>
        <v>0</v>
      </c>
      <c r="AF27" s="43">
        <f aca="true" t="shared" si="56" ref="AF27:AF38">IF(AND($I27&gt;0,$I27&lt;1),AG26+1,0)</f>
        <v>0</v>
      </c>
      <c r="AG27" s="44">
        <f aca="true" t="shared" si="57" ref="AG27:AG38">IF(AND($I27&gt;0,$I27&lt;1),AF27,AG26)</f>
        <v>0</v>
      </c>
      <c r="AH27" s="43">
        <f aca="true" t="shared" si="58" ref="AH27:AH38">IF($I27=AH$9,AI26+1,0)</f>
        <v>2</v>
      </c>
      <c r="AI27" s="44">
        <f aca="true" t="shared" si="59" ref="AI27:AI38">IF($I27=AH$9,AH27,AI26)</f>
        <v>2</v>
      </c>
      <c r="AK27" s="288" t="str">
        <f t="shared" si="32"/>
        <v> </v>
      </c>
      <c r="AL27" s="289" t="str">
        <f t="shared" si="33"/>
        <v> </v>
      </c>
      <c r="AM27" s="36" t="str">
        <f t="shared" si="34"/>
        <v> </v>
      </c>
      <c r="AN27" s="66" t="str">
        <f t="shared" si="35"/>
        <v> </v>
      </c>
    </row>
    <row r="28" spans="1:40" s="2" customFormat="1" ht="12.75">
      <c r="A28" s="307">
        <f>'liste améliorations'!A55</f>
        <v>11</v>
      </c>
      <c r="B28" s="1"/>
      <c r="C28" s="72" t="str">
        <f>'liste améliorations'!B55</f>
        <v>Isoler les vannes situées sur les conduites isolées</v>
      </c>
      <c r="D28" s="79" t="s">
        <v>109</v>
      </c>
      <c r="E28" s="471" t="str">
        <f>'liste améliorations'!B56</f>
        <v>90% des pertes de la vanne</v>
      </c>
      <c r="F28" s="290">
        <f>'liste améliorations'!C55</f>
        <v>2</v>
      </c>
      <c r="G28" s="291">
        <f>'liste améliorations'!D55</f>
        <v>1</v>
      </c>
      <c r="H28" s="433">
        <f>IF(AND('liens Q R'!K87=1,'liens Q R'!K89=2),'liens Q R'!L89,IF(AND(OR('liens Q R'!K87=1,'liens Q R'!K87=3),OR('liens Q R'!K89=2,'liens Q R'!K89=3)),0.05,0))</f>
        <v>0</v>
      </c>
      <c r="I28" s="441">
        <f t="shared" si="30"/>
        <v>0</v>
      </c>
      <c r="K28" s="46">
        <f t="shared" si="31"/>
        <v>3</v>
      </c>
      <c r="L28" s="43">
        <f t="shared" si="36"/>
        <v>0</v>
      </c>
      <c r="M28" s="44">
        <f t="shared" si="37"/>
        <v>0</v>
      </c>
      <c r="N28" s="43">
        <f t="shared" si="38"/>
        <v>0</v>
      </c>
      <c r="O28" s="44">
        <f t="shared" si="39"/>
        <v>0</v>
      </c>
      <c r="P28" s="43">
        <f t="shared" si="40"/>
        <v>0</v>
      </c>
      <c r="Q28" s="44">
        <f t="shared" si="41"/>
        <v>0</v>
      </c>
      <c r="R28" s="43">
        <f t="shared" si="42"/>
        <v>0</v>
      </c>
      <c r="S28" s="44">
        <f t="shared" si="43"/>
        <v>0</v>
      </c>
      <c r="T28" s="43">
        <f t="shared" si="44"/>
        <v>0</v>
      </c>
      <c r="U28" s="44">
        <f t="shared" si="45"/>
        <v>0</v>
      </c>
      <c r="V28" s="43">
        <f t="shared" si="46"/>
        <v>0</v>
      </c>
      <c r="W28" s="44">
        <f t="shared" si="47"/>
        <v>0</v>
      </c>
      <c r="X28" s="43">
        <f t="shared" si="48"/>
        <v>0</v>
      </c>
      <c r="Y28" s="44">
        <f t="shared" si="49"/>
        <v>0</v>
      </c>
      <c r="Z28" s="43">
        <f t="shared" si="50"/>
        <v>0</v>
      </c>
      <c r="AA28" s="44">
        <f t="shared" si="51"/>
        <v>0</v>
      </c>
      <c r="AB28" s="43">
        <f t="shared" si="52"/>
        <v>0</v>
      </c>
      <c r="AC28" s="44">
        <f t="shared" si="53"/>
        <v>0</v>
      </c>
      <c r="AD28" s="43">
        <f t="shared" si="54"/>
        <v>0</v>
      </c>
      <c r="AE28" s="44">
        <f t="shared" si="55"/>
        <v>0</v>
      </c>
      <c r="AF28" s="43">
        <f t="shared" si="56"/>
        <v>0</v>
      </c>
      <c r="AG28" s="44">
        <f t="shared" si="57"/>
        <v>0</v>
      </c>
      <c r="AH28" s="43">
        <f t="shared" si="58"/>
        <v>3</v>
      </c>
      <c r="AI28" s="44">
        <f t="shared" si="59"/>
        <v>3</v>
      </c>
      <c r="AK28" s="288" t="str">
        <f t="shared" si="32"/>
        <v> </v>
      </c>
      <c r="AL28" s="289" t="str">
        <f t="shared" si="33"/>
        <v> </v>
      </c>
      <c r="AM28" s="36" t="str">
        <f t="shared" si="34"/>
        <v> </v>
      </c>
      <c r="AN28" s="66" t="str">
        <f t="shared" si="35"/>
        <v> </v>
      </c>
    </row>
    <row r="29" spans="1:40" s="2" customFormat="1" ht="12.75">
      <c r="A29" s="307">
        <f>'liste améliorations'!A37</f>
        <v>2</v>
      </c>
      <c r="B29" s="1"/>
      <c r="C29" s="72" t="str">
        <f>'liste améliorations'!B37</f>
        <v>Réduire de vitesse les circulateurs à plusieurs vitesses</v>
      </c>
      <c r="D29" s="79" t="s">
        <v>110</v>
      </c>
      <c r="E29" s="471" t="str">
        <f>'liste améliorations'!B38</f>
        <v>… 40...% de la consommation électrique des circulateurs</v>
      </c>
      <c r="F29" s="290">
        <f>'liste améliorations'!C37</f>
        <v>3</v>
      </c>
      <c r="G29" s="291">
        <f>'liste améliorations'!D37</f>
        <v>3</v>
      </c>
      <c r="H29" s="435">
        <f>IF(OR('liens Q R'!K96=2,'liens Q R'!K98=2),MAX('liens Q R'!L96,'liens Q R'!L98),IF(OR('liens Q R'!K96=3,'liens Q R'!K98=3),0.05,0))</f>
        <v>0</v>
      </c>
      <c r="I29" s="441">
        <f t="shared" si="30"/>
        <v>0</v>
      </c>
      <c r="K29" s="46">
        <f t="shared" si="31"/>
        <v>4</v>
      </c>
      <c r="L29" s="43">
        <f t="shared" si="36"/>
        <v>0</v>
      </c>
      <c r="M29" s="44">
        <f t="shared" si="37"/>
        <v>0</v>
      </c>
      <c r="N29" s="43">
        <f t="shared" si="38"/>
        <v>0</v>
      </c>
      <c r="O29" s="44">
        <f t="shared" si="39"/>
        <v>0</v>
      </c>
      <c r="P29" s="43">
        <f t="shared" si="40"/>
        <v>0</v>
      </c>
      <c r="Q29" s="44">
        <f t="shared" si="41"/>
        <v>0</v>
      </c>
      <c r="R29" s="43">
        <f t="shared" si="42"/>
        <v>0</v>
      </c>
      <c r="S29" s="44">
        <f t="shared" si="43"/>
        <v>0</v>
      </c>
      <c r="T29" s="43">
        <f t="shared" si="44"/>
        <v>0</v>
      </c>
      <c r="U29" s="44">
        <f t="shared" si="45"/>
        <v>0</v>
      </c>
      <c r="V29" s="43">
        <f t="shared" si="46"/>
        <v>0</v>
      </c>
      <c r="W29" s="44">
        <f t="shared" si="47"/>
        <v>0</v>
      </c>
      <c r="X29" s="43">
        <f t="shared" si="48"/>
        <v>0</v>
      </c>
      <c r="Y29" s="44">
        <f t="shared" si="49"/>
        <v>0</v>
      </c>
      <c r="Z29" s="43">
        <f t="shared" si="50"/>
        <v>0</v>
      </c>
      <c r="AA29" s="44">
        <f t="shared" si="51"/>
        <v>0</v>
      </c>
      <c r="AB29" s="43">
        <f t="shared" si="52"/>
        <v>0</v>
      </c>
      <c r="AC29" s="44">
        <f t="shared" si="53"/>
        <v>0</v>
      </c>
      <c r="AD29" s="43">
        <f t="shared" si="54"/>
        <v>0</v>
      </c>
      <c r="AE29" s="44">
        <f t="shared" si="55"/>
        <v>0</v>
      </c>
      <c r="AF29" s="43">
        <f t="shared" si="56"/>
        <v>0</v>
      </c>
      <c r="AG29" s="44">
        <f t="shared" si="57"/>
        <v>0</v>
      </c>
      <c r="AH29" s="43">
        <f t="shared" si="58"/>
        <v>4</v>
      </c>
      <c r="AI29" s="44">
        <f t="shared" si="59"/>
        <v>4</v>
      </c>
      <c r="AK29" s="288" t="str">
        <f t="shared" si="32"/>
        <v> </v>
      </c>
      <c r="AL29" s="289" t="str">
        <f t="shared" si="33"/>
        <v> </v>
      </c>
      <c r="AM29" s="36" t="str">
        <f t="shared" si="34"/>
        <v> </v>
      </c>
      <c r="AN29" s="66" t="str">
        <f t="shared" si="35"/>
        <v> </v>
      </c>
    </row>
    <row r="30" spans="1:40" s="2" customFormat="1" ht="25.5">
      <c r="A30" s="307">
        <f>'liste améliorations'!A39</f>
        <v>3</v>
      </c>
      <c r="B30" s="1"/>
      <c r="C30" s="72" t="str">
        <f>'liste améliorations'!B39</f>
        <v>Remplacer les circulateurs existants par des circulateurs à vitesse variable</v>
      </c>
      <c r="D30" s="79" t="s">
        <v>215</v>
      </c>
      <c r="E30" s="471" t="str">
        <f>'liste améliorations'!B40</f>
        <v>40 … 50% de la consommation du circulateur</v>
      </c>
      <c r="F30" s="290">
        <f>'liste améliorations'!C39</f>
        <v>3</v>
      </c>
      <c r="G30" s="291">
        <f>'liste améliorations'!D39</f>
        <v>2</v>
      </c>
      <c r="H30" s="433">
        <f>IF(OR('liens Q R'!K96=2,'liens Q R'!K98=2,'liens Q R'!K102=2),MAX('liens Q R'!L96,'liens Q R'!L98,'liens Q R'!L102),IF(OR('liens Q R'!K96=3,'liens Q R'!K98=3,'liens Q R'!K102=3),0.05,0))</f>
        <v>0</v>
      </c>
      <c r="I30" s="441">
        <f t="shared" si="30"/>
        <v>0</v>
      </c>
      <c r="K30" s="46">
        <f t="shared" si="31"/>
        <v>5</v>
      </c>
      <c r="L30" s="43">
        <f t="shared" si="36"/>
        <v>0</v>
      </c>
      <c r="M30" s="44">
        <f t="shared" si="37"/>
        <v>0</v>
      </c>
      <c r="N30" s="43">
        <f t="shared" si="38"/>
        <v>0</v>
      </c>
      <c r="O30" s="44">
        <f t="shared" si="39"/>
        <v>0</v>
      </c>
      <c r="P30" s="43">
        <f t="shared" si="40"/>
        <v>0</v>
      </c>
      <c r="Q30" s="44">
        <f t="shared" si="41"/>
        <v>0</v>
      </c>
      <c r="R30" s="43">
        <f t="shared" si="42"/>
        <v>0</v>
      </c>
      <c r="S30" s="44">
        <f t="shared" si="43"/>
        <v>0</v>
      </c>
      <c r="T30" s="43">
        <f t="shared" si="44"/>
        <v>0</v>
      </c>
      <c r="U30" s="44">
        <f t="shared" si="45"/>
        <v>0</v>
      </c>
      <c r="V30" s="43">
        <f t="shared" si="46"/>
        <v>0</v>
      </c>
      <c r="W30" s="44">
        <f t="shared" si="47"/>
        <v>0</v>
      </c>
      <c r="X30" s="43">
        <f t="shared" si="48"/>
        <v>0</v>
      </c>
      <c r="Y30" s="44">
        <f t="shared" si="49"/>
        <v>0</v>
      </c>
      <c r="Z30" s="43">
        <f t="shared" si="50"/>
        <v>0</v>
      </c>
      <c r="AA30" s="44">
        <f t="shared" si="51"/>
        <v>0</v>
      </c>
      <c r="AB30" s="43">
        <f t="shared" si="52"/>
        <v>0</v>
      </c>
      <c r="AC30" s="44">
        <f t="shared" si="53"/>
        <v>0</v>
      </c>
      <c r="AD30" s="43">
        <f t="shared" si="54"/>
        <v>0</v>
      </c>
      <c r="AE30" s="44">
        <f t="shared" si="55"/>
        <v>0</v>
      </c>
      <c r="AF30" s="43">
        <f t="shared" si="56"/>
        <v>0</v>
      </c>
      <c r="AG30" s="44">
        <f t="shared" si="57"/>
        <v>0</v>
      </c>
      <c r="AH30" s="43">
        <f t="shared" si="58"/>
        <v>5</v>
      </c>
      <c r="AI30" s="44">
        <f t="shared" si="59"/>
        <v>5</v>
      </c>
      <c r="AK30" s="288" t="str">
        <f t="shared" si="32"/>
        <v> </v>
      </c>
      <c r="AL30" s="289" t="str">
        <f t="shared" si="33"/>
        <v> </v>
      </c>
      <c r="AM30" s="36" t="str">
        <f t="shared" si="34"/>
        <v> </v>
      </c>
      <c r="AN30" s="66" t="str">
        <f t="shared" si="35"/>
        <v> </v>
      </c>
    </row>
    <row r="31" spans="1:40" s="2" customFormat="1" ht="12.75">
      <c r="A31" s="307">
        <f>'liste améliorations'!A57</f>
        <v>12</v>
      </c>
      <c r="B31" s="3"/>
      <c r="C31" s="72" t="str">
        <f>'liste améliorations'!B57</f>
        <v>Adapter le découpage du réseau aux besoins des locaux</v>
      </c>
      <c r="D31" s="79"/>
      <c r="E31" s="471" t="str">
        <f>'liste améliorations'!B58</f>
        <v>   </v>
      </c>
      <c r="F31" s="290">
        <f>'liste améliorations'!C57</f>
        <v>2</v>
      </c>
      <c r="G31" s="291">
        <f>'liste améliorations'!D57</f>
        <v>1</v>
      </c>
      <c r="H31" s="435">
        <f>'liens Q R'!L109</f>
        <v>0</v>
      </c>
      <c r="I31" s="441">
        <f t="shared" si="30"/>
        <v>0</v>
      </c>
      <c r="K31" s="46">
        <f t="shared" si="31"/>
        <v>6</v>
      </c>
      <c r="L31" s="43">
        <f t="shared" si="36"/>
        <v>0</v>
      </c>
      <c r="M31" s="44">
        <f t="shared" si="37"/>
        <v>0</v>
      </c>
      <c r="N31" s="43">
        <f t="shared" si="38"/>
        <v>0</v>
      </c>
      <c r="O31" s="44">
        <f t="shared" si="39"/>
        <v>0</v>
      </c>
      <c r="P31" s="43">
        <f t="shared" si="40"/>
        <v>0</v>
      </c>
      <c r="Q31" s="44">
        <f t="shared" si="41"/>
        <v>0</v>
      </c>
      <c r="R31" s="43">
        <f t="shared" si="42"/>
        <v>0</v>
      </c>
      <c r="S31" s="44">
        <f t="shared" si="43"/>
        <v>0</v>
      </c>
      <c r="T31" s="43">
        <f t="shared" si="44"/>
        <v>0</v>
      </c>
      <c r="U31" s="44">
        <f t="shared" si="45"/>
        <v>0</v>
      </c>
      <c r="V31" s="43">
        <f t="shared" si="46"/>
        <v>0</v>
      </c>
      <c r="W31" s="44">
        <f t="shared" si="47"/>
        <v>0</v>
      </c>
      <c r="X31" s="43">
        <f t="shared" si="48"/>
        <v>0</v>
      </c>
      <c r="Y31" s="44">
        <f t="shared" si="49"/>
        <v>0</v>
      </c>
      <c r="Z31" s="43">
        <f t="shared" si="50"/>
        <v>0</v>
      </c>
      <c r="AA31" s="44">
        <f t="shared" si="51"/>
        <v>0</v>
      </c>
      <c r="AB31" s="43">
        <f t="shared" si="52"/>
        <v>0</v>
      </c>
      <c r="AC31" s="44">
        <f t="shared" si="53"/>
        <v>0</v>
      </c>
      <c r="AD31" s="43">
        <f t="shared" si="54"/>
        <v>0</v>
      </c>
      <c r="AE31" s="44">
        <f t="shared" si="55"/>
        <v>0</v>
      </c>
      <c r="AF31" s="43">
        <f t="shared" si="56"/>
        <v>0</v>
      </c>
      <c r="AG31" s="44">
        <f t="shared" si="57"/>
        <v>0</v>
      </c>
      <c r="AH31" s="43">
        <f t="shared" si="58"/>
        <v>6</v>
      </c>
      <c r="AI31" s="44">
        <f t="shared" si="59"/>
        <v>6</v>
      </c>
      <c r="AK31" s="288" t="str">
        <f t="shared" si="32"/>
        <v> </v>
      </c>
      <c r="AL31" s="289" t="str">
        <f t="shared" si="33"/>
        <v> </v>
      </c>
      <c r="AM31" s="36" t="str">
        <f t="shared" si="34"/>
        <v> </v>
      </c>
      <c r="AN31" s="66" t="str">
        <f t="shared" si="35"/>
        <v> </v>
      </c>
    </row>
    <row r="32" spans="1:40" s="2" customFormat="1" ht="12.75">
      <c r="A32" s="307">
        <f>'liste améliorations'!A43</f>
        <v>5</v>
      </c>
      <c r="B32" s="1"/>
      <c r="C32" s="72" t="str">
        <f>'liste améliorations'!B43</f>
        <v>Équilibrer le réseau hydraulique</v>
      </c>
      <c r="D32" s="79" t="s">
        <v>155</v>
      </c>
      <c r="E32" s="469" t="str">
        <f>'liste améliorations'!B44</f>
        <v>Amélioration du confort, l'économie dépend de l'importance de la surchauffe globale pour essayer de satisfaire les occupants des locaux mal chauffés (1°C de trop…7 à 8% de surconsommation)</v>
      </c>
      <c r="F32" s="290">
        <f>'liste améliorations'!C43</f>
        <v>2</v>
      </c>
      <c r="G32" s="291">
        <f>'liste améliorations'!D43</f>
        <v>2</v>
      </c>
      <c r="H32" s="435">
        <f>IF(AND('liens Q R'!K120=1,'liens Q R'!K116=2),'liens Q R'!L116,IF(AND(OR('liens Q R'!K120=1,'liens Q R'!K120=3),OR('liens Q R'!K116=2,'liens Q R'!K116=3)),0.05,0))</f>
        <v>0</v>
      </c>
      <c r="I32" s="441">
        <f>+F32*G32*H32</f>
        <v>0</v>
      </c>
      <c r="K32" s="46">
        <f t="shared" si="31"/>
        <v>7</v>
      </c>
      <c r="L32" s="43">
        <f t="shared" si="36"/>
        <v>0</v>
      </c>
      <c r="M32" s="44">
        <f t="shared" si="37"/>
        <v>0</v>
      </c>
      <c r="N32" s="43">
        <f t="shared" si="38"/>
        <v>0</v>
      </c>
      <c r="O32" s="44">
        <f t="shared" si="39"/>
        <v>0</v>
      </c>
      <c r="P32" s="43">
        <f t="shared" si="40"/>
        <v>0</v>
      </c>
      <c r="Q32" s="44">
        <f t="shared" si="41"/>
        <v>0</v>
      </c>
      <c r="R32" s="43">
        <f t="shared" si="42"/>
        <v>0</v>
      </c>
      <c r="S32" s="44">
        <f t="shared" si="43"/>
        <v>0</v>
      </c>
      <c r="T32" s="43">
        <f t="shared" si="44"/>
        <v>0</v>
      </c>
      <c r="U32" s="44">
        <f t="shared" si="45"/>
        <v>0</v>
      </c>
      <c r="V32" s="43">
        <f t="shared" si="46"/>
        <v>0</v>
      </c>
      <c r="W32" s="44">
        <f t="shared" si="47"/>
        <v>0</v>
      </c>
      <c r="X32" s="43">
        <f t="shared" si="48"/>
        <v>0</v>
      </c>
      <c r="Y32" s="44">
        <f t="shared" si="49"/>
        <v>0</v>
      </c>
      <c r="Z32" s="43">
        <f t="shared" si="50"/>
        <v>0</v>
      </c>
      <c r="AA32" s="44">
        <f t="shared" si="51"/>
        <v>0</v>
      </c>
      <c r="AB32" s="43">
        <f t="shared" si="52"/>
        <v>0</v>
      </c>
      <c r="AC32" s="44">
        <f t="shared" si="53"/>
        <v>0</v>
      </c>
      <c r="AD32" s="43">
        <f t="shared" si="54"/>
        <v>0</v>
      </c>
      <c r="AE32" s="44">
        <f t="shared" si="55"/>
        <v>0</v>
      </c>
      <c r="AF32" s="43">
        <f t="shared" si="56"/>
        <v>0</v>
      </c>
      <c r="AG32" s="44">
        <f t="shared" si="57"/>
        <v>0</v>
      </c>
      <c r="AH32" s="43">
        <f t="shared" si="58"/>
        <v>7</v>
      </c>
      <c r="AI32" s="44">
        <f t="shared" si="59"/>
        <v>7</v>
      </c>
      <c r="AK32" s="288" t="str">
        <f>IF(AN32=" "," ",F32)</f>
        <v> </v>
      </c>
      <c r="AL32" s="289" t="str">
        <f>IF(AN32=" "," ",G32)</f>
        <v> </v>
      </c>
      <c r="AM32" s="36" t="str">
        <f>IF(H32&lt;1," ",H32)</f>
        <v> </v>
      </c>
      <c r="AN32" s="66" t="str">
        <f>IF(I32=0," ",IF(I32&lt;1,"-",I32))</f>
        <v> </v>
      </c>
    </row>
    <row r="33" spans="1:40" ht="38.25">
      <c r="A33" s="307">
        <f>'liste améliorations'!A45</f>
        <v>6</v>
      </c>
      <c r="C33" s="72" t="str">
        <f>'liste améliorations'!B45</f>
        <v>Equiper le départ des différents circuits de vannes d'équilibrage et les radiateurs/ventilo-convecteurs de tés de réglage, puis équilibrer l'installation.</v>
      </c>
      <c r="D33" s="78" t="s">
        <v>154</v>
      </c>
      <c r="E33" s="471" t="str">
        <f>'liste améliorations'!B46</f>
        <v>Amélioration du confort, l'économie dépend de l'importance de la surchauffe globale pour essayer de satisfaire les occupants des locaux mal chauffés (1°C de trop…7 à 8% de surconsommation)</v>
      </c>
      <c r="F33" s="290">
        <f>'liste améliorations'!C45</f>
        <v>2</v>
      </c>
      <c r="G33" s="291">
        <f>'liste améliorations'!D45</f>
        <v>2</v>
      </c>
      <c r="H33" s="433">
        <f>IF(AND('liens Q R'!K116=2,'liens Q R'!K120=2),'liens Q R'!L120,IF(AND(OR('liens Q R'!K116=2,'liens Q R'!K116=3),OR('liens Q R'!K120=2,'liens Q R'!K120=3)),0.05,0))</f>
        <v>0</v>
      </c>
      <c r="I33" s="441">
        <f>+F33*G33*H33</f>
        <v>0</v>
      </c>
      <c r="K33" s="46">
        <f t="shared" si="31"/>
        <v>8</v>
      </c>
      <c r="L33" s="43">
        <f t="shared" si="36"/>
        <v>0</v>
      </c>
      <c r="M33" s="44">
        <f t="shared" si="37"/>
        <v>0</v>
      </c>
      <c r="N33" s="43">
        <f t="shared" si="38"/>
        <v>0</v>
      </c>
      <c r="O33" s="44">
        <f t="shared" si="39"/>
        <v>0</v>
      </c>
      <c r="P33" s="43">
        <f t="shared" si="40"/>
        <v>0</v>
      </c>
      <c r="Q33" s="44">
        <f t="shared" si="41"/>
        <v>0</v>
      </c>
      <c r="R33" s="43">
        <f t="shared" si="42"/>
        <v>0</v>
      </c>
      <c r="S33" s="44">
        <f t="shared" si="43"/>
        <v>0</v>
      </c>
      <c r="T33" s="43">
        <f t="shared" si="44"/>
        <v>0</v>
      </c>
      <c r="U33" s="44">
        <f t="shared" si="45"/>
        <v>0</v>
      </c>
      <c r="V33" s="43">
        <f t="shared" si="46"/>
        <v>0</v>
      </c>
      <c r="W33" s="44">
        <f t="shared" si="47"/>
        <v>0</v>
      </c>
      <c r="X33" s="43">
        <f t="shared" si="48"/>
        <v>0</v>
      </c>
      <c r="Y33" s="44">
        <f t="shared" si="49"/>
        <v>0</v>
      </c>
      <c r="Z33" s="43">
        <f t="shared" si="50"/>
        <v>0</v>
      </c>
      <c r="AA33" s="44">
        <f t="shared" si="51"/>
        <v>0</v>
      </c>
      <c r="AB33" s="43">
        <f t="shared" si="52"/>
        <v>0</v>
      </c>
      <c r="AC33" s="44">
        <f t="shared" si="53"/>
        <v>0</v>
      </c>
      <c r="AD33" s="43">
        <f t="shared" si="54"/>
        <v>0</v>
      </c>
      <c r="AE33" s="44">
        <f t="shared" si="55"/>
        <v>0</v>
      </c>
      <c r="AF33" s="43">
        <f t="shared" si="56"/>
        <v>0</v>
      </c>
      <c r="AG33" s="44">
        <f t="shared" si="57"/>
        <v>0</v>
      </c>
      <c r="AH33" s="43">
        <f t="shared" si="58"/>
        <v>8</v>
      </c>
      <c r="AI33" s="44">
        <f t="shared" si="59"/>
        <v>8</v>
      </c>
      <c r="AK33" s="288" t="str">
        <f>IF(AN33=" "," ",F33)</f>
        <v> </v>
      </c>
      <c r="AL33" s="289" t="str">
        <f>IF(AN33=" "," ",G33)</f>
        <v> </v>
      </c>
      <c r="AM33" s="36" t="str">
        <f>IF(H33&lt;1," ",H33)</f>
        <v> </v>
      </c>
      <c r="AN33" s="66" t="str">
        <f>IF(I33=0," ",IF(I33&lt;1,"-",I33))</f>
        <v> </v>
      </c>
    </row>
    <row r="34" spans="1:40" s="2" customFormat="1" ht="36.75" customHeight="1">
      <c r="A34" s="307">
        <f>'liste améliorations'!A49</f>
        <v>8</v>
      </c>
      <c r="B34" s="3"/>
      <c r="C34" s="72" t="str">
        <f>'liste améliorations'!B49</f>
        <v>Remédier à l'inconfort thermique dans les locaux où des radiateurs électriques d'appoint sont utilisés.</v>
      </c>
      <c r="D34" s="79"/>
      <c r="E34" s="471" t="str">
        <f>'liste améliorations'!B50</f>
        <v>   </v>
      </c>
      <c r="F34" s="290">
        <f>'liste améliorations'!C49</f>
        <v>1</v>
      </c>
      <c r="G34" s="291">
        <f>'liste améliorations'!D49</f>
        <v>3</v>
      </c>
      <c r="H34" s="435">
        <f>'liens Q R'!L127</f>
        <v>0</v>
      </c>
      <c r="I34" s="441">
        <f t="shared" si="30"/>
        <v>0</v>
      </c>
      <c r="K34" s="46">
        <f t="shared" si="31"/>
        <v>9</v>
      </c>
      <c r="L34" s="43">
        <f t="shared" si="36"/>
        <v>0</v>
      </c>
      <c r="M34" s="44">
        <f t="shared" si="37"/>
        <v>0</v>
      </c>
      <c r="N34" s="43">
        <f t="shared" si="38"/>
        <v>0</v>
      </c>
      <c r="O34" s="44">
        <f t="shared" si="39"/>
        <v>0</v>
      </c>
      <c r="P34" s="43">
        <f t="shared" si="40"/>
        <v>0</v>
      </c>
      <c r="Q34" s="44">
        <f t="shared" si="41"/>
        <v>0</v>
      </c>
      <c r="R34" s="43">
        <f t="shared" si="42"/>
        <v>0</v>
      </c>
      <c r="S34" s="44">
        <f t="shared" si="43"/>
        <v>0</v>
      </c>
      <c r="T34" s="43">
        <f t="shared" si="44"/>
        <v>0</v>
      </c>
      <c r="U34" s="44">
        <f t="shared" si="45"/>
        <v>0</v>
      </c>
      <c r="V34" s="43">
        <f t="shared" si="46"/>
        <v>0</v>
      </c>
      <c r="W34" s="44">
        <f t="shared" si="47"/>
        <v>0</v>
      </c>
      <c r="X34" s="43">
        <f t="shared" si="48"/>
        <v>0</v>
      </c>
      <c r="Y34" s="44">
        <f t="shared" si="49"/>
        <v>0</v>
      </c>
      <c r="Z34" s="43">
        <f t="shared" si="50"/>
        <v>0</v>
      </c>
      <c r="AA34" s="44">
        <f t="shared" si="51"/>
        <v>0</v>
      </c>
      <c r="AB34" s="43">
        <f t="shared" si="52"/>
        <v>0</v>
      </c>
      <c r="AC34" s="44">
        <f t="shared" si="53"/>
        <v>0</v>
      </c>
      <c r="AD34" s="43">
        <f t="shared" si="54"/>
        <v>0</v>
      </c>
      <c r="AE34" s="44">
        <f t="shared" si="55"/>
        <v>0</v>
      </c>
      <c r="AF34" s="43">
        <f t="shared" si="56"/>
        <v>0</v>
      </c>
      <c r="AG34" s="44">
        <f t="shared" si="57"/>
        <v>0</v>
      </c>
      <c r="AH34" s="43">
        <f t="shared" si="58"/>
        <v>9</v>
      </c>
      <c r="AI34" s="44">
        <f t="shared" si="59"/>
        <v>9</v>
      </c>
      <c r="AK34" s="288" t="str">
        <f t="shared" si="32"/>
        <v> </v>
      </c>
      <c r="AL34" s="289" t="str">
        <f t="shared" si="33"/>
        <v> </v>
      </c>
      <c r="AM34" s="36" t="str">
        <f t="shared" si="34"/>
        <v> </v>
      </c>
      <c r="AN34" s="66" t="str">
        <f t="shared" si="35"/>
        <v> </v>
      </c>
    </row>
    <row r="35" spans="1:40" s="2" customFormat="1" ht="38.25">
      <c r="A35" s="307">
        <f>'liste améliorations'!A41</f>
        <v>4</v>
      </c>
      <c r="B35" s="3"/>
      <c r="C35" s="72" t="str">
        <f>'liste améliorations'!B41</f>
        <v>Remplacer le système de chauffage par air chaud des grands espaces (grands halls, ateliers, atrium,...) par un système par rayonnement (par le sol, panneaux radiatifs,…)</v>
      </c>
      <c r="D35" s="79"/>
      <c r="E35" s="471" t="str">
        <f>'liste améliorations'!B42</f>
        <v>L'investissement nécessaire, et donc la rentabilité, dépendent beaucoup de la disposition des lieux et du type de finitions</v>
      </c>
      <c r="F35" s="290">
        <f>'liste améliorations'!C41</f>
        <v>3</v>
      </c>
      <c r="G35" s="291">
        <f>'liste améliorations'!D41</f>
        <v>2</v>
      </c>
      <c r="H35" s="435">
        <f>'liens Q R'!L131</f>
        <v>0</v>
      </c>
      <c r="I35" s="441">
        <f t="shared" si="30"/>
        <v>0</v>
      </c>
      <c r="K35" s="46">
        <f t="shared" si="31"/>
        <v>10</v>
      </c>
      <c r="L35" s="43">
        <f t="shared" si="36"/>
        <v>0</v>
      </c>
      <c r="M35" s="44">
        <f t="shared" si="37"/>
        <v>0</v>
      </c>
      <c r="N35" s="43">
        <f t="shared" si="38"/>
        <v>0</v>
      </c>
      <c r="O35" s="44">
        <f t="shared" si="39"/>
        <v>0</v>
      </c>
      <c r="P35" s="43">
        <f t="shared" si="40"/>
        <v>0</v>
      </c>
      <c r="Q35" s="44">
        <f t="shared" si="41"/>
        <v>0</v>
      </c>
      <c r="R35" s="43">
        <f t="shared" si="42"/>
        <v>0</v>
      </c>
      <c r="S35" s="44">
        <f t="shared" si="43"/>
        <v>0</v>
      </c>
      <c r="T35" s="43">
        <f t="shared" si="44"/>
        <v>0</v>
      </c>
      <c r="U35" s="44">
        <f t="shared" si="45"/>
        <v>0</v>
      </c>
      <c r="V35" s="43">
        <f t="shared" si="46"/>
        <v>0</v>
      </c>
      <c r="W35" s="44">
        <f t="shared" si="47"/>
        <v>0</v>
      </c>
      <c r="X35" s="43">
        <f t="shared" si="48"/>
        <v>0</v>
      </c>
      <c r="Y35" s="44">
        <f t="shared" si="49"/>
        <v>0</v>
      </c>
      <c r="Z35" s="43">
        <f t="shared" si="50"/>
        <v>0</v>
      </c>
      <c r="AA35" s="44">
        <f t="shared" si="51"/>
        <v>0</v>
      </c>
      <c r="AB35" s="43">
        <f t="shared" si="52"/>
        <v>0</v>
      </c>
      <c r="AC35" s="44">
        <f t="shared" si="53"/>
        <v>0</v>
      </c>
      <c r="AD35" s="43">
        <f t="shared" si="54"/>
        <v>0</v>
      </c>
      <c r="AE35" s="44">
        <f t="shared" si="55"/>
        <v>0</v>
      </c>
      <c r="AF35" s="43">
        <f t="shared" si="56"/>
        <v>0</v>
      </c>
      <c r="AG35" s="44">
        <f t="shared" si="57"/>
        <v>0</v>
      </c>
      <c r="AH35" s="43">
        <f t="shared" si="58"/>
        <v>10</v>
      </c>
      <c r="AI35" s="44">
        <f t="shared" si="59"/>
        <v>10</v>
      </c>
      <c r="AK35" s="288" t="str">
        <f t="shared" si="32"/>
        <v> </v>
      </c>
      <c r="AL35" s="289" t="str">
        <f t="shared" si="33"/>
        <v> </v>
      </c>
      <c r="AM35" s="36" t="str">
        <f t="shared" si="34"/>
        <v> </v>
      </c>
      <c r="AN35" s="66" t="str">
        <f t="shared" si="35"/>
        <v> </v>
      </c>
    </row>
    <row r="36" spans="1:40" s="2" customFormat="1" ht="25.5">
      <c r="A36" s="307">
        <f>'liste améliorations'!A47</f>
        <v>7</v>
      </c>
      <c r="B36" s="3"/>
      <c r="C36" s="72" t="str">
        <f>'liste améliorations'!B47</f>
        <v>Remplacer les allèges vitrées par des allèges opaques isolées</v>
      </c>
      <c r="D36" s="79"/>
      <c r="E36" s="471" t="str">
        <f>'liste améliorations'!B48</f>
        <v>3 à 9% de la consommation destinée au chauffage des locaux</v>
      </c>
      <c r="F36" s="290">
        <f>'liste améliorations'!C47</f>
        <v>2</v>
      </c>
      <c r="G36" s="291">
        <f>'liste améliorations'!D47</f>
        <v>2</v>
      </c>
      <c r="H36" s="435">
        <f>'liens Q R'!L137</f>
        <v>0</v>
      </c>
      <c r="I36" s="441">
        <f t="shared" si="30"/>
        <v>0</v>
      </c>
      <c r="K36" s="46">
        <f t="shared" si="31"/>
        <v>11</v>
      </c>
      <c r="L36" s="43">
        <f t="shared" si="36"/>
        <v>0</v>
      </c>
      <c r="M36" s="44">
        <f t="shared" si="37"/>
        <v>0</v>
      </c>
      <c r="N36" s="43">
        <f t="shared" si="38"/>
        <v>0</v>
      </c>
      <c r="O36" s="44">
        <f t="shared" si="39"/>
        <v>0</v>
      </c>
      <c r="P36" s="43">
        <f t="shared" si="40"/>
        <v>0</v>
      </c>
      <c r="Q36" s="44">
        <f t="shared" si="41"/>
        <v>0</v>
      </c>
      <c r="R36" s="43">
        <f t="shared" si="42"/>
        <v>0</v>
      </c>
      <c r="S36" s="44">
        <f t="shared" si="43"/>
        <v>0</v>
      </c>
      <c r="T36" s="43">
        <f t="shared" si="44"/>
        <v>0</v>
      </c>
      <c r="U36" s="44">
        <f t="shared" si="45"/>
        <v>0</v>
      </c>
      <c r="V36" s="43">
        <f t="shared" si="46"/>
        <v>0</v>
      </c>
      <c r="W36" s="44">
        <f t="shared" si="47"/>
        <v>0</v>
      </c>
      <c r="X36" s="43">
        <f t="shared" si="48"/>
        <v>0</v>
      </c>
      <c r="Y36" s="44">
        <f t="shared" si="49"/>
        <v>0</v>
      </c>
      <c r="Z36" s="43">
        <f t="shared" si="50"/>
        <v>0</v>
      </c>
      <c r="AA36" s="44">
        <f t="shared" si="51"/>
        <v>0</v>
      </c>
      <c r="AB36" s="43">
        <f t="shared" si="52"/>
        <v>0</v>
      </c>
      <c r="AC36" s="44">
        <f t="shared" si="53"/>
        <v>0</v>
      </c>
      <c r="AD36" s="43">
        <f t="shared" si="54"/>
        <v>0</v>
      </c>
      <c r="AE36" s="44">
        <f t="shared" si="55"/>
        <v>0</v>
      </c>
      <c r="AF36" s="43">
        <f t="shared" si="56"/>
        <v>0</v>
      </c>
      <c r="AG36" s="44">
        <f t="shared" si="57"/>
        <v>0</v>
      </c>
      <c r="AH36" s="43">
        <f t="shared" si="58"/>
        <v>11</v>
      </c>
      <c r="AI36" s="44">
        <f t="shared" si="59"/>
        <v>11</v>
      </c>
      <c r="AK36" s="288" t="str">
        <f t="shared" si="32"/>
        <v> </v>
      </c>
      <c r="AL36" s="289" t="str">
        <f t="shared" si="33"/>
        <v> </v>
      </c>
      <c r="AM36" s="36" t="str">
        <f t="shared" si="34"/>
        <v> </v>
      </c>
      <c r="AN36" s="66" t="str">
        <f t="shared" si="35"/>
        <v> </v>
      </c>
    </row>
    <row r="37" spans="1:40" s="2" customFormat="1" ht="27.75" customHeight="1">
      <c r="A37" s="307">
        <f>'liste améliorations'!A51</f>
        <v>9</v>
      </c>
      <c r="B37" s="3"/>
      <c r="C37" s="72" t="str">
        <f>'liste améliorations'!B51</f>
        <v>Placer un film isolant/réfléchissant derrière les radiateurs placés contre un mur extérieur</v>
      </c>
      <c r="D37" s="79"/>
      <c r="E37" s="471" t="str">
        <f>'liste améliorations'!B52</f>
        <v>…2%...</v>
      </c>
      <c r="F37" s="290">
        <f>'liste améliorations'!C51</f>
        <v>1</v>
      </c>
      <c r="G37" s="291">
        <f>'liste améliorations'!D51</f>
        <v>3</v>
      </c>
      <c r="H37" s="435">
        <f>'liens Q R'!L139</f>
        <v>0</v>
      </c>
      <c r="I37" s="441">
        <f t="shared" si="30"/>
        <v>0</v>
      </c>
      <c r="K37" s="46">
        <f t="shared" si="31"/>
        <v>12</v>
      </c>
      <c r="L37" s="43">
        <f t="shared" si="36"/>
        <v>0</v>
      </c>
      <c r="M37" s="44">
        <f t="shared" si="37"/>
        <v>0</v>
      </c>
      <c r="N37" s="43">
        <f t="shared" si="38"/>
        <v>0</v>
      </c>
      <c r="O37" s="44">
        <f t="shared" si="39"/>
        <v>0</v>
      </c>
      <c r="P37" s="43">
        <f t="shared" si="40"/>
        <v>0</v>
      </c>
      <c r="Q37" s="44">
        <f t="shared" si="41"/>
        <v>0</v>
      </c>
      <c r="R37" s="43">
        <f t="shared" si="42"/>
        <v>0</v>
      </c>
      <c r="S37" s="44">
        <f t="shared" si="43"/>
        <v>0</v>
      </c>
      <c r="T37" s="43">
        <f t="shared" si="44"/>
        <v>0</v>
      </c>
      <c r="U37" s="44">
        <f t="shared" si="45"/>
        <v>0</v>
      </c>
      <c r="V37" s="43">
        <f t="shared" si="46"/>
        <v>0</v>
      </c>
      <c r="W37" s="44">
        <f t="shared" si="47"/>
        <v>0</v>
      </c>
      <c r="X37" s="43">
        <f t="shared" si="48"/>
        <v>0</v>
      </c>
      <c r="Y37" s="44">
        <f t="shared" si="49"/>
        <v>0</v>
      </c>
      <c r="Z37" s="43">
        <f t="shared" si="50"/>
        <v>0</v>
      </c>
      <c r="AA37" s="44">
        <f t="shared" si="51"/>
        <v>0</v>
      </c>
      <c r="AB37" s="43">
        <f t="shared" si="52"/>
        <v>0</v>
      </c>
      <c r="AC37" s="44">
        <f t="shared" si="53"/>
        <v>0</v>
      </c>
      <c r="AD37" s="43">
        <f t="shared" si="54"/>
        <v>0</v>
      </c>
      <c r="AE37" s="44">
        <f t="shared" si="55"/>
        <v>0</v>
      </c>
      <c r="AF37" s="43">
        <f t="shared" si="56"/>
        <v>0</v>
      </c>
      <c r="AG37" s="44">
        <f t="shared" si="57"/>
        <v>0</v>
      </c>
      <c r="AH37" s="43">
        <f t="shared" si="58"/>
        <v>12</v>
      </c>
      <c r="AI37" s="44">
        <f t="shared" si="59"/>
        <v>12</v>
      </c>
      <c r="AK37" s="288" t="str">
        <f>IF(AN37=" "," ",F37)</f>
        <v> </v>
      </c>
      <c r="AL37" s="289" t="str">
        <f>IF(AN37=" "," ",G37)</f>
        <v> </v>
      </c>
      <c r="AM37" s="36" t="str">
        <f>IF(H37&lt;1," ",H37)</f>
        <v> </v>
      </c>
      <c r="AN37" s="66" t="str">
        <f>IF(I37=0," ",IF(I37&lt;1,"-",I37))</f>
        <v> </v>
      </c>
    </row>
    <row r="38" spans="1:40" ht="12.75">
      <c r="A38" s="307">
        <f>'liste améliorations'!A53</f>
        <v>10</v>
      </c>
      <c r="C38" s="72" t="str">
        <f>'liste améliorations'!B53</f>
        <v>Sensibiliser les occupants à éviter d'encombrer les radiateurs</v>
      </c>
      <c r="D38" s="317"/>
      <c r="E38" s="469" t="str">
        <f>'liste améliorations'!B54</f>
        <v>   </v>
      </c>
      <c r="F38" s="290">
        <f>'liste améliorations'!C53</f>
        <v>1</v>
      </c>
      <c r="G38" s="294">
        <f>'liste améliorations'!D53</f>
        <v>3</v>
      </c>
      <c r="H38" s="435">
        <f>'liens Q R'!L143</f>
        <v>0</v>
      </c>
      <c r="I38" s="441">
        <f>+F38*G38*H38</f>
        <v>0</v>
      </c>
      <c r="K38" s="46">
        <f t="shared" si="31"/>
        <v>13</v>
      </c>
      <c r="L38" s="43">
        <f t="shared" si="36"/>
        <v>0</v>
      </c>
      <c r="M38" s="44">
        <f t="shared" si="37"/>
        <v>0</v>
      </c>
      <c r="N38" s="43">
        <f t="shared" si="38"/>
        <v>0</v>
      </c>
      <c r="O38" s="44">
        <f t="shared" si="39"/>
        <v>0</v>
      </c>
      <c r="P38" s="43">
        <f t="shared" si="40"/>
        <v>0</v>
      </c>
      <c r="Q38" s="44">
        <f t="shared" si="41"/>
        <v>0</v>
      </c>
      <c r="R38" s="43">
        <f t="shared" si="42"/>
        <v>0</v>
      </c>
      <c r="S38" s="44">
        <f t="shared" si="43"/>
        <v>0</v>
      </c>
      <c r="T38" s="43">
        <f t="shared" si="44"/>
        <v>0</v>
      </c>
      <c r="U38" s="44">
        <f t="shared" si="45"/>
        <v>0</v>
      </c>
      <c r="V38" s="43">
        <f t="shared" si="46"/>
        <v>0</v>
      </c>
      <c r="W38" s="44">
        <f t="shared" si="47"/>
        <v>0</v>
      </c>
      <c r="X38" s="43">
        <f t="shared" si="48"/>
        <v>0</v>
      </c>
      <c r="Y38" s="44">
        <f t="shared" si="49"/>
        <v>0</v>
      </c>
      <c r="Z38" s="43">
        <f t="shared" si="50"/>
        <v>0</v>
      </c>
      <c r="AA38" s="44">
        <f t="shared" si="51"/>
        <v>0</v>
      </c>
      <c r="AB38" s="43">
        <f t="shared" si="52"/>
        <v>0</v>
      </c>
      <c r="AC38" s="44">
        <f t="shared" si="53"/>
        <v>0</v>
      </c>
      <c r="AD38" s="43">
        <f t="shared" si="54"/>
        <v>0</v>
      </c>
      <c r="AE38" s="44">
        <f t="shared" si="55"/>
        <v>0</v>
      </c>
      <c r="AF38" s="43">
        <f t="shared" si="56"/>
        <v>0</v>
      </c>
      <c r="AG38" s="44">
        <f t="shared" si="57"/>
        <v>0</v>
      </c>
      <c r="AH38" s="43">
        <f t="shared" si="58"/>
        <v>13</v>
      </c>
      <c r="AI38" s="44">
        <f t="shared" si="59"/>
        <v>13</v>
      </c>
      <c r="AK38" s="288" t="str">
        <f>IF(AN38=" "," ",F38)</f>
        <v> </v>
      </c>
      <c r="AL38" s="289" t="str">
        <f>IF(AN38=" "," ",G38)</f>
        <v> </v>
      </c>
      <c r="AM38" s="36" t="str">
        <f>IF(H38&lt;1," ",H38)</f>
        <v> </v>
      </c>
      <c r="AN38" s="66" t="str">
        <f>IF(I38=0," ",IF(I38&lt;1,"-",I38))</f>
        <v> </v>
      </c>
    </row>
    <row r="39" spans="1:40" ht="12.75">
      <c r="A39" s="306"/>
      <c r="C39" s="314"/>
      <c r="D39" s="314"/>
      <c r="E39" s="467"/>
      <c r="F39" s="285"/>
      <c r="G39" s="286"/>
      <c r="H39" s="436"/>
      <c r="I39" s="442"/>
      <c r="K39" s="46"/>
      <c r="AK39" s="285"/>
      <c r="AL39" s="286"/>
      <c r="AM39" s="287"/>
      <c r="AN39" s="67"/>
    </row>
    <row r="40" spans="1:40" ht="12.75">
      <c r="A40" s="73" t="s">
        <v>216</v>
      </c>
      <c r="C40" s="316"/>
      <c r="D40" s="316"/>
      <c r="F40" s="295"/>
      <c r="G40" s="296"/>
      <c r="H40" s="433"/>
      <c r="I40" s="441"/>
      <c r="AK40" s="295"/>
      <c r="AL40" s="296"/>
      <c r="AM40" s="36"/>
      <c r="AN40" s="66"/>
    </row>
    <row r="41" spans="1:40" ht="38.25">
      <c r="A41" s="307">
        <f>'liste améliorations'!A96</f>
        <v>17</v>
      </c>
      <c r="C41" s="72" t="str">
        <f>'liste améliorations'!B96</f>
        <v>Améliorer la régulation en cascade</v>
      </c>
      <c r="D41" s="444" t="s">
        <v>217</v>
      </c>
      <c r="E41" s="469" t="str">
        <f>'liste améliorations'!B97</f>
        <v>…2%...</v>
      </c>
      <c r="F41" s="290">
        <f>'liste améliorations'!C96</f>
        <v>1</v>
      </c>
      <c r="G41" s="291">
        <f>'liste améliorations'!D96</f>
        <v>3</v>
      </c>
      <c r="H41" s="435">
        <f>IF(OR('liens Q R'!K47=2,'liens Q R'!K52=2,AND('liens Q R'!K57=1,OR('liens Q R'!K60=2,'liens Q R'!K61=2)),AND('liens Q R'!K66=1,'liens Q R'!K68=2)),MAX('liens Q R'!L47,'liens Q R'!L52,'liens Q R'!L60,'liens Q R'!L61,'liens Q R'!L68),IF(OR('liens Q R'!K47=3,'liens Q R'!K52=3,AND(OR('liens Q R'!K57=1,'liens Q R'!K57=3),OR('liens Q R'!K60=2,'liens Q R'!K60=3,'liens Q R'!K61=2,'liens Q R'!K61=3)),AND(OR('liens Q R'!K66=1,'liens Q R'!K66=3),OR('liens Q R'!K68=2,'liens Q R'!K68=3))),0.05,0))</f>
        <v>0</v>
      </c>
      <c r="I41" s="441">
        <f aca="true" t="shared" si="60" ref="I41:I58">+F41*G41*H41</f>
        <v>0</v>
      </c>
      <c r="K41" s="46">
        <f aca="true" t="shared" si="61" ref="K41:K60">L41+N41+P41+R41+T41+V41+X41+Z41+AB41+AD41+AF41+AH41</f>
        <v>1</v>
      </c>
      <c r="L41" s="43">
        <f>IF(I41=27,1,0)</f>
        <v>0</v>
      </c>
      <c r="M41" s="44">
        <f>IF(I41=27,1,0)</f>
        <v>0</v>
      </c>
      <c r="N41" s="43">
        <f>IF($I41=N$9,M60+1,0)</f>
        <v>0</v>
      </c>
      <c r="O41" s="44">
        <f>IF($I41=N$9,N41,M60)</f>
        <v>0</v>
      </c>
      <c r="P41" s="43">
        <f>IF($I41=P$9,O60+1,0)</f>
        <v>0</v>
      </c>
      <c r="Q41" s="44">
        <f>IF($I41=P$9,P41,O60)</f>
        <v>0</v>
      </c>
      <c r="R41" s="43">
        <f>IF($I41=R$9,Q60+1,0)</f>
        <v>0</v>
      </c>
      <c r="S41" s="44">
        <f>IF($I41=R$9,R41,Q60)</f>
        <v>0</v>
      </c>
      <c r="T41" s="43">
        <f>IF($I41=T$9,S60+1,0)</f>
        <v>0</v>
      </c>
      <c r="U41" s="44">
        <f>IF($I41=T$9,T41,S60)</f>
        <v>0</v>
      </c>
      <c r="V41" s="43">
        <f>IF($I41=V$9,U60+1,0)</f>
        <v>0</v>
      </c>
      <c r="W41" s="44">
        <f>IF($I41=V$9,V41,U60)</f>
        <v>0</v>
      </c>
      <c r="X41" s="43">
        <f>IF($I41=X$9,W60+1,0)</f>
        <v>0</v>
      </c>
      <c r="Y41" s="44">
        <f>IF($I41=X$9,X41,W60)</f>
        <v>0</v>
      </c>
      <c r="Z41" s="43">
        <f>IF($I41=Z$9,Y60+1,0)</f>
        <v>0</v>
      </c>
      <c r="AA41" s="44">
        <f>IF($I41=Z$9,Z41,Y60)</f>
        <v>0</v>
      </c>
      <c r="AB41" s="43">
        <f>IF($I41=AB$9,AA60+1,0)</f>
        <v>0</v>
      </c>
      <c r="AC41" s="44">
        <f>IF($I41=AB$9,AB41,AA60)</f>
        <v>0</v>
      </c>
      <c r="AD41" s="43">
        <f>IF($I41=AD$9,AC60+1,0)</f>
        <v>0</v>
      </c>
      <c r="AE41" s="44">
        <f>IF($I41=AD$9,AD41,AC60)</f>
        <v>0</v>
      </c>
      <c r="AF41" s="43">
        <f>IF(AND($I41&gt;0,$I41&lt;1),AE60+1,0)</f>
        <v>0</v>
      </c>
      <c r="AG41" s="44">
        <f>IF(AND($I41&gt;0,$I41&lt;1),AF41,AE60)</f>
        <v>0</v>
      </c>
      <c r="AH41" s="43">
        <f>IF($I41=AH$9,AG60+1,0)</f>
        <v>1</v>
      </c>
      <c r="AI41" s="44">
        <f>IF($I41=AH$9,AH41,AG60)</f>
        <v>1</v>
      </c>
      <c r="AK41" s="288" t="str">
        <f aca="true" t="shared" si="62" ref="AK41:AK60">IF(AN41=" "," ",F41)</f>
        <v> </v>
      </c>
      <c r="AL41" s="289" t="str">
        <f aca="true" t="shared" si="63" ref="AL41:AL60">IF(AN41=" "," ",G41)</f>
        <v> </v>
      </c>
      <c r="AM41" s="36" t="str">
        <f aca="true" t="shared" si="64" ref="AM41:AM60">IF(H41&lt;1," ",H41)</f>
        <v> </v>
      </c>
      <c r="AN41" s="66" t="str">
        <f aca="true" t="shared" si="65" ref="AN41:AN60">IF(I41=0," ",IF(I41&lt;1,"-",I41))</f>
        <v> </v>
      </c>
    </row>
    <row r="42" spans="1:40" ht="12.75">
      <c r="A42" s="307">
        <f>'liste améliorations'!A98</f>
        <v>18</v>
      </c>
      <c r="C42" s="72" t="str">
        <f>'liste améliorations'!B98</f>
        <v>Mettre une chaudière à l'arrêt</v>
      </c>
      <c r="D42" s="444" t="s">
        <v>218</v>
      </c>
      <c r="E42" s="469" t="str">
        <f>'liste améliorations'!B99</f>
        <v>…2%...</v>
      </c>
      <c r="F42" s="290">
        <f>'liste améliorations'!C98</f>
        <v>1</v>
      </c>
      <c r="G42" s="291">
        <f>'liste améliorations'!D98</f>
        <v>3</v>
      </c>
      <c r="H42" s="435">
        <f>IF(OR('liens Q R'!K47=2,'liens Q R'!K52=2),MAX('liens Q R'!L47,'liens Q R'!L52),IF(OR('liens Q R'!K47=3,'liens Q R'!K52=3),0.05,0))</f>
        <v>0</v>
      </c>
      <c r="I42" s="441">
        <f t="shared" si="60"/>
        <v>0</v>
      </c>
      <c r="K42" s="46">
        <f t="shared" si="61"/>
        <v>2</v>
      </c>
      <c r="L42" s="43">
        <f aca="true" t="shared" si="66" ref="L42:L60">IF($I42=L$9,M41+1,0)</f>
        <v>0</v>
      </c>
      <c r="M42" s="44">
        <f aca="true" t="shared" si="67" ref="M42:M60">IF($I42=L$9,L42,M41)</f>
        <v>0</v>
      </c>
      <c r="N42" s="43">
        <f aca="true" t="shared" si="68" ref="N42:N60">IF($I42=N$9,O41+1,0)</f>
        <v>0</v>
      </c>
      <c r="O42" s="44">
        <f aca="true" t="shared" si="69" ref="O42:O60">IF($I42=N$9,N42,O41)</f>
        <v>0</v>
      </c>
      <c r="P42" s="43">
        <f aca="true" t="shared" si="70" ref="P42:P60">IF($I42=P$9,Q41+1,0)</f>
        <v>0</v>
      </c>
      <c r="Q42" s="44">
        <f aca="true" t="shared" si="71" ref="Q42:Q60">IF($I42=P$9,P42,Q41)</f>
        <v>0</v>
      </c>
      <c r="R42" s="43">
        <f aca="true" t="shared" si="72" ref="R42:R60">IF($I42=R$9,S41+1,0)</f>
        <v>0</v>
      </c>
      <c r="S42" s="44">
        <f aca="true" t="shared" si="73" ref="S42:S60">IF($I42=R$9,R42,S41)</f>
        <v>0</v>
      </c>
      <c r="T42" s="43">
        <f aca="true" t="shared" si="74" ref="T42:T60">IF($I42=T$9,U41+1,0)</f>
        <v>0</v>
      </c>
      <c r="U42" s="44">
        <f aca="true" t="shared" si="75" ref="U42:U60">IF($I42=T$9,T42,U41)</f>
        <v>0</v>
      </c>
      <c r="V42" s="43">
        <f aca="true" t="shared" si="76" ref="V42:V60">IF($I42=V$9,W41+1,0)</f>
        <v>0</v>
      </c>
      <c r="W42" s="44">
        <f aca="true" t="shared" si="77" ref="W42:W60">IF($I42=V$9,V42,W41)</f>
        <v>0</v>
      </c>
      <c r="X42" s="43">
        <f aca="true" t="shared" si="78" ref="X42:X60">IF($I42=X$9,Y41+1,0)</f>
        <v>0</v>
      </c>
      <c r="Y42" s="44">
        <f aca="true" t="shared" si="79" ref="Y42:Y60">IF($I42=X$9,X42,Y41)</f>
        <v>0</v>
      </c>
      <c r="Z42" s="43">
        <f aca="true" t="shared" si="80" ref="Z42:Z60">IF($I42=Z$9,AA41+1,0)</f>
        <v>0</v>
      </c>
      <c r="AA42" s="44">
        <f aca="true" t="shared" si="81" ref="AA42:AA60">IF($I42=Z$9,Z42,AA41)</f>
        <v>0</v>
      </c>
      <c r="AB42" s="43">
        <f aca="true" t="shared" si="82" ref="AB42:AB60">IF($I42=AB$9,AC41+1,0)</f>
        <v>0</v>
      </c>
      <c r="AC42" s="44">
        <f aca="true" t="shared" si="83" ref="AC42:AC60">IF($I42=AB$9,AB42,AC41)</f>
        <v>0</v>
      </c>
      <c r="AD42" s="43">
        <f aca="true" t="shared" si="84" ref="AD42:AD60">IF($I42=AD$9,AE41+1,0)</f>
        <v>0</v>
      </c>
      <c r="AE42" s="44">
        <f aca="true" t="shared" si="85" ref="AE42:AE60">IF($I42=AD$9,AD42,AE41)</f>
        <v>0</v>
      </c>
      <c r="AF42" s="43">
        <f aca="true" t="shared" si="86" ref="AF42:AF60">IF(AND($I42&gt;0,$I42&lt;1),AG41+1,0)</f>
        <v>0</v>
      </c>
      <c r="AG42" s="44">
        <f aca="true" t="shared" si="87" ref="AG42:AG60">IF(AND($I42&gt;0,$I42&lt;1),AF42,AG41)</f>
        <v>0</v>
      </c>
      <c r="AH42" s="43">
        <f aca="true" t="shared" si="88" ref="AH42:AH60">IF($I42=AH$9,AI41+1,0)</f>
        <v>2</v>
      </c>
      <c r="AI42" s="44">
        <f aca="true" t="shared" si="89" ref="AI42:AI60">IF($I42=AH$9,AH42,AI41)</f>
        <v>2</v>
      </c>
      <c r="AK42" s="288" t="str">
        <f t="shared" si="62"/>
        <v> </v>
      </c>
      <c r="AL42" s="289" t="str">
        <f t="shared" si="63"/>
        <v> </v>
      </c>
      <c r="AM42" s="36" t="str">
        <f t="shared" si="64"/>
        <v> </v>
      </c>
      <c r="AN42" s="66" t="str">
        <f t="shared" si="65"/>
        <v> </v>
      </c>
    </row>
    <row r="43" spans="1:40" ht="25.5">
      <c r="A43" s="307">
        <f>'liste améliorations'!A74</f>
        <v>6</v>
      </c>
      <c r="B43" s="179"/>
      <c r="C43" s="72" t="str">
        <f>'liste améliorations'!B74</f>
        <v>Vérifier les paramètres de régulation pour permettre la condensation (l'eau arrive froide à la chaudière) </v>
      </c>
      <c r="D43" s="78"/>
      <c r="E43" s="469" t="str">
        <f>'liste améliorations'!B75</f>
        <v>… 6 ...%</v>
      </c>
      <c r="F43" s="290">
        <f>'liste améliorations'!C74</f>
        <v>2</v>
      </c>
      <c r="G43" s="291">
        <f>'liste améliorations'!D74</f>
        <v>3</v>
      </c>
      <c r="H43" s="435">
        <f>'liens Q R'!L74</f>
        <v>0</v>
      </c>
      <c r="I43" s="441">
        <f t="shared" si="60"/>
        <v>0</v>
      </c>
      <c r="K43" s="46">
        <f t="shared" si="61"/>
        <v>3</v>
      </c>
      <c r="L43" s="43">
        <f t="shared" si="66"/>
        <v>0</v>
      </c>
      <c r="M43" s="44">
        <f t="shared" si="67"/>
        <v>0</v>
      </c>
      <c r="N43" s="43">
        <f t="shared" si="68"/>
        <v>0</v>
      </c>
      <c r="O43" s="44">
        <f t="shared" si="69"/>
        <v>0</v>
      </c>
      <c r="P43" s="43">
        <f t="shared" si="70"/>
        <v>0</v>
      </c>
      <c r="Q43" s="44">
        <f t="shared" si="71"/>
        <v>0</v>
      </c>
      <c r="R43" s="43">
        <f t="shared" si="72"/>
        <v>0</v>
      </c>
      <c r="S43" s="44">
        <f t="shared" si="73"/>
        <v>0</v>
      </c>
      <c r="T43" s="43">
        <f t="shared" si="74"/>
        <v>0</v>
      </c>
      <c r="U43" s="44">
        <f t="shared" si="75"/>
        <v>0</v>
      </c>
      <c r="V43" s="43">
        <f t="shared" si="76"/>
        <v>0</v>
      </c>
      <c r="W43" s="44">
        <f t="shared" si="77"/>
        <v>0</v>
      </c>
      <c r="X43" s="43">
        <f t="shared" si="78"/>
        <v>0</v>
      </c>
      <c r="Y43" s="44">
        <f t="shared" si="79"/>
        <v>0</v>
      </c>
      <c r="Z43" s="43">
        <f t="shared" si="80"/>
        <v>0</v>
      </c>
      <c r="AA43" s="44">
        <f t="shared" si="81"/>
        <v>0</v>
      </c>
      <c r="AB43" s="43">
        <f t="shared" si="82"/>
        <v>0</v>
      </c>
      <c r="AC43" s="44">
        <f t="shared" si="83"/>
        <v>0</v>
      </c>
      <c r="AD43" s="43">
        <f t="shared" si="84"/>
        <v>0</v>
      </c>
      <c r="AE43" s="44">
        <f t="shared" si="85"/>
        <v>0</v>
      </c>
      <c r="AF43" s="43">
        <f t="shared" si="86"/>
        <v>0</v>
      </c>
      <c r="AG43" s="44">
        <f t="shared" si="87"/>
        <v>0</v>
      </c>
      <c r="AH43" s="43">
        <f t="shared" si="88"/>
        <v>3</v>
      </c>
      <c r="AI43" s="44">
        <f t="shared" si="89"/>
        <v>3</v>
      </c>
      <c r="AK43" s="288" t="str">
        <f t="shared" si="62"/>
        <v> </v>
      </c>
      <c r="AL43" s="289" t="str">
        <f t="shared" si="63"/>
        <v> </v>
      </c>
      <c r="AM43" s="36" t="str">
        <f t="shared" si="64"/>
        <v> </v>
      </c>
      <c r="AN43" s="66" t="str">
        <f t="shared" si="65"/>
        <v> </v>
      </c>
    </row>
    <row r="44" spans="1:40" ht="12.75">
      <c r="A44" s="307">
        <f>'liste améliorations'!A82</f>
        <v>10</v>
      </c>
      <c r="C44" s="72" t="str">
        <f>'liste améliorations'!B82</f>
        <v>Equiper les différents circuits d'une régulation indépendante.</v>
      </c>
      <c r="D44" s="472" t="s">
        <v>112</v>
      </c>
      <c r="E44" s="471" t="str">
        <f>'liste améliorations'!B83</f>
        <v>1°C de trop…7 à 8% de surconsommation</v>
      </c>
      <c r="F44" s="293">
        <f>'liste améliorations'!C82</f>
        <v>2</v>
      </c>
      <c r="G44" s="294">
        <f>'liste améliorations'!D82</f>
        <v>3</v>
      </c>
      <c r="H44" s="433">
        <f>IF(AND('liens Q R'!K109=1,'liens Q R'!K112=2),'liens Q R'!L112,IF(AND(OR('liens Q R'!K109=1,'liens Q R'!K109=3),OR('liens Q R'!K112=2,'liens Q R'!K112=3)),0.05,0))</f>
        <v>0</v>
      </c>
      <c r="I44" s="441">
        <f t="shared" si="60"/>
        <v>0</v>
      </c>
      <c r="K44" s="46">
        <f t="shared" si="61"/>
        <v>4</v>
      </c>
      <c r="L44" s="43">
        <f t="shared" si="66"/>
        <v>0</v>
      </c>
      <c r="M44" s="44">
        <f t="shared" si="67"/>
        <v>0</v>
      </c>
      <c r="N44" s="43">
        <f t="shared" si="68"/>
        <v>0</v>
      </c>
      <c r="O44" s="44">
        <f t="shared" si="69"/>
        <v>0</v>
      </c>
      <c r="P44" s="43">
        <f t="shared" si="70"/>
        <v>0</v>
      </c>
      <c r="Q44" s="44">
        <f t="shared" si="71"/>
        <v>0</v>
      </c>
      <c r="R44" s="43">
        <f t="shared" si="72"/>
        <v>0</v>
      </c>
      <c r="S44" s="44">
        <f t="shared" si="73"/>
        <v>0</v>
      </c>
      <c r="T44" s="43">
        <f t="shared" si="74"/>
        <v>0</v>
      </c>
      <c r="U44" s="44">
        <f t="shared" si="75"/>
        <v>0</v>
      </c>
      <c r="V44" s="43">
        <f t="shared" si="76"/>
        <v>0</v>
      </c>
      <c r="W44" s="44">
        <f t="shared" si="77"/>
        <v>0</v>
      </c>
      <c r="X44" s="43">
        <f t="shared" si="78"/>
        <v>0</v>
      </c>
      <c r="Y44" s="44">
        <f t="shared" si="79"/>
        <v>0</v>
      </c>
      <c r="Z44" s="43">
        <f t="shared" si="80"/>
        <v>0</v>
      </c>
      <c r="AA44" s="44">
        <f t="shared" si="81"/>
        <v>0</v>
      </c>
      <c r="AB44" s="43">
        <f t="shared" si="82"/>
        <v>0</v>
      </c>
      <c r="AC44" s="44">
        <f t="shared" si="83"/>
        <v>0</v>
      </c>
      <c r="AD44" s="43">
        <f t="shared" si="84"/>
        <v>0</v>
      </c>
      <c r="AE44" s="44">
        <f t="shared" si="85"/>
        <v>0</v>
      </c>
      <c r="AF44" s="43">
        <f t="shared" si="86"/>
        <v>0</v>
      </c>
      <c r="AG44" s="44">
        <f t="shared" si="87"/>
        <v>0</v>
      </c>
      <c r="AH44" s="43">
        <f t="shared" si="88"/>
        <v>4</v>
      </c>
      <c r="AI44" s="44">
        <f t="shared" si="89"/>
        <v>4</v>
      </c>
      <c r="AK44" s="288" t="str">
        <f t="shared" si="62"/>
        <v> </v>
      </c>
      <c r="AL44" s="289" t="str">
        <f t="shared" si="63"/>
        <v> </v>
      </c>
      <c r="AM44" s="36" t="str">
        <f t="shared" si="64"/>
        <v> </v>
      </c>
      <c r="AN44" s="66" t="str">
        <f t="shared" si="65"/>
        <v> </v>
      </c>
    </row>
    <row r="45" spans="1:40" s="2" customFormat="1" ht="12.75">
      <c r="A45" s="307">
        <f>'liste améliorations'!A64</f>
        <v>1</v>
      </c>
      <c r="B45" s="3"/>
      <c r="C45" s="72" t="str">
        <f>'liste améliorations'!B64</f>
        <v>Arrêter l'installation de chauffage la nuit et le week-end</v>
      </c>
      <c r="E45" s="471" t="str">
        <f>'liste améliorations'!B65</f>
        <v>15 à 30 %</v>
      </c>
      <c r="F45" s="290">
        <f>'liste améliorations'!C64</f>
        <v>3</v>
      </c>
      <c r="G45" s="291">
        <f>'liste améliorations'!D64</f>
        <v>3</v>
      </c>
      <c r="H45" s="435">
        <f>'liens Q R'!L153</f>
        <v>0</v>
      </c>
      <c r="I45" s="441">
        <f t="shared" si="60"/>
        <v>0</v>
      </c>
      <c r="K45" s="46">
        <f t="shared" si="61"/>
        <v>5</v>
      </c>
      <c r="L45" s="43">
        <f t="shared" si="66"/>
        <v>0</v>
      </c>
      <c r="M45" s="44">
        <f t="shared" si="67"/>
        <v>0</v>
      </c>
      <c r="N45" s="43">
        <f t="shared" si="68"/>
        <v>0</v>
      </c>
      <c r="O45" s="44">
        <f t="shared" si="69"/>
        <v>0</v>
      </c>
      <c r="P45" s="43">
        <f t="shared" si="70"/>
        <v>0</v>
      </c>
      <c r="Q45" s="44">
        <f t="shared" si="71"/>
        <v>0</v>
      </c>
      <c r="R45" s="43">
        <f t="shared" si="72"/>
        <v>0</v>
      </c>
      <c r="S45" s="44">
        <f t="shared" si="73"/>
        <v>0</v>
      </c>
      <c r="T45" s="43">
        <f t="shared" si="74"/>
        <v>0</v>
      </c>
      <c r="U45" s="44">
        <f t="shared" si="75"/>
        <v>0</v>
      </c>
      <c r="V45" s="43">
        <f t="shared" si="76"/>
        <v>0</v>
      </c>
      <c r="W45" s="44">
        <f t="shared" si="77"/>
        <v>0</v>
      </c>
      <c r="X45" s="43">
        <f t="shared" si="78"/>
        <v>0</v>
      </c>
      <c r="Y45" s="44">
        <f t="shared" si="79"/>
        <v>0</v>
      </c>
      <c r="Z45" s="43">
        <f t="shared" si="80"/>
        <v>0</v>
      </c>
      <c r="AA45" s="44">
        <f t="shared" si="81"/>
        <v>0</v>
      </c>
      <c r="AB45" s="43">
        <f t="shared" si="82"/>
        <v>0</v>
      </c>
      <c r="AC45" s="44">
        <f t="shared" si="83"/>
        <v>0</v>
      </c>
      <c r="AD45" s="43">
        <f t="shared" si="84"/>
        <v>0</v>
      </c>
      <c r="AE45" s="44">
        <f t="shared" si="85"/>
        <v>0</v>
      </c>
      <c r="AF45" s="43">
        <f t="shared" si="86"/>
        <v>0</v>
      </c>
      <c r="AG45" s="44">
        <f t="shared" si="87"/>
        <v>0</v>
      </c>
      <c r="AH45" s="43">
        <f t="shared" si="88"/>
        <v>5</v>
      </c>
      <c r="AI45" s="44">
        <f t="shared" si="89"/>
        <v>5</v>
      </c>
      <c r="AK45" s="288" t="str">
        <f t="shared" si="62"/>
        <v> </v>
      </c>
      <c r="AL45" s="289" t="str">
        <f t="shared" si="63"/>
        <v> </v>
      </c>
      <c r="AM45" s="36" t="str">
        <f t="shared" si="64"/>
        <v> </v>
      </c>
      <c r="AN45" s="66" t="str">
        <f t="shared" si="65"/>
        <v> </v>
      </c>
    </row>
    <row r="46" spans="1:40" ht="25.5">
      <c r="A46" s="307">
        <f>'liste améliorations'!A66</f>
        <v>2</v>
      </c>
      <c r="C46" s="72" t="str">
        <f>'liste améliorations'!B66</f>
        <v>Pratiquer un ralenti par coupure complète de l'installation, contrôlée par thermostat d'ambiance</v>
      </c>
      <c r="D46" s="78" t="s">
        <v>219</v>
      </c>
      <c r="E46" s="469" t="str">
        <f>'liste améliorations'!B67</f>
        <v>5…15 %</v>
      </c>
      <c r="F46" s="290">
        <f>'liste améliorations'!C66</f>
        <v>3</v>
      </c>
      <c r="G46" s="291">
        <f>'liste améliorations'!D66</f>
        <v>3</v>
      </c>
      <c r="H46" s="435">
        <f>IF(AND('liens Q R'!K153=1,'liens Q R'!K156=2),'liens Q R'!L156,IF(AND(OR('liens Q R'!K153=1,'liens Q R'!K153=3),OR('liens Q R'!K156=2,'liens Q R'!K156=3)),0.05,0))</f>
        <v>0</v>
      </c>
      <c r="I46" s="441">
        <f t="shared" si="60"/>
        <v>0</v>
      </c>
      <c r="K46" s="46">
        <f t="shared" si="61"/>
        <v>6</v>
      </c>
      <c r="L46" s="43">
        <f t="shared" si="66"/>
        <v>0</v>
      </c>
      <c r="M46" s="44">
        <f t="shared" si="67"/>
        <v>0</v>
      </c>
      <c r="N46" s="43">
        <f t="shared" si="68"/>
        <v>0</v>
      </c>
      <c r="O46" s="44">
        <f t="shared" si="69"/>
        <v>0</v>
      </c>
      <c r="P46" s="43">
        <f t="shared" si="70"/>
        <v>0</v>
      </c>
      <c r="Q46" s="44">
        <f t="shared" si="71"/>
        <v>0</v>
      </c>
      <c r="R46" s="43">
        <f t="shared" si="72"/>
        <v>0</v>
      </c>
      <c r="S46" s="44">
        <f t="shared" si="73"/>
        <v>0</v>
      </c>
      <c r="T46" s="43">
        <f t="shared" si="74"/>
        <v>0</v>
      </c>
      <c r="U46" s="44">
        <f t="shared" si="75"/>
        <v>0</v>
      </c>
      <c r="V46" s="43">
        <f t="shared" si="76"/>
        <v>0</v>
      </c>
      <c r="W46" s="44">
        <f t="shared" si="77"/>
        <v>0</v>
      </c>
      <c r="X46" s="43">
        <f t="shared" si="78"/>
        <v>0</v>
      </c>
      <c r="Y46" s="44">
        <f t="shared" si="79"/>
        <v>0</v>
      </c>
      <c r="Z46" s="43">
        <f t="shared" si="80"/>
        <v>0</v>
      </c>
      <c r="AA46" s="44">
        <f t="shared" si="81"/>
        <v>0</v>
      </c>
      <c r="AB46" s="43">
        <f t="shared" si="82"/>
        <v>0</v>
      </c>
      <c r="AC46" s="44">
        <f t="shared" si="83"/>
        <v>0</v>
      </c>
      <c r="AD46" s="43">
        <f t="shared" si="84"/>
        <v>0</v>
      </c>
      <c r="AE46" s="44">
        <f t="shared" si="85"/>
        <v>0</v>
      </c>
      <c r="AF46" s="43">
        <f t="shared" si="86"/>
        <v>0</v>
      </c>
      <c r="AG46" s="44">
        <f t="shared" si="87"/>
        <v>0</v>
      </c>
      <c r="AH46" s="43">
        <f t="shared" si="88"/>
        <v>6</v>
      </c>
      <c r="AI46" s="44">
        <f t="shared" si="89"/>
        <v>6</v>
      </c>
      <c r="AK46" s="288" t="str">
        <f t="shared" si="62"/>
        <v> </v>
      </c>
      <c r="AL46" s="289" t="str">
        <f t="shared" si="63"/>
        <v> </v>
      </c>
      <c r="AM46" s="36" t="str">
        <f t="shared" si="64"/>
        <v> </v>
      </c>
      <c r="AN46" s="66" t="str">
        <f t="shared" si="65"/>
        <v> </v>
      </c>
    </row>
    <row r="47" spans="1:40" s="2" customFormat="1" ht="51">
      <c r="A47" s="307">
        <f>'liste améliorations'!A70</f>
        <v>4</v>
      </c>
      <c r="B47" s="3"/>
      <c r="C47" s="72" t="str">
        <f>'liste améliorations'!B70</f>
        <v>Remplacer l'horloge afin de pouvoir programmer le fonctionnement de l'installation conformément à l'utilisation du bâtiment (en fonction du jour de la semaine, des jours de congé,…)</v>
      </c>
      <c r="D47" s="78" t="s">
        <v>220</v>
      </c>
      <c r="E47" s="469" t="str">
        <f>'liste améliorations'!B71</f>
        <v>5 ... 15 %</v>
      </c>
      <c r="F47" s="290">
        <f>'liste améliorations'!C70</f>
        <v>3</v>
      </c>
      <c r="G47" s="291">
        <f>'liste améliorations'!D70</f>
        <v>3</v>
      </c>
      <c r="H47" s="435">
        <f>IF(AND('liens Q R'!K153=1,'liens Q R'!K157=2),'liens Q R'!L157,IF(AND(OR('liens Q R'!K153=1,'liens Q R'!K153=3),OR('liens Q R'!K157=2,'liens Q R'!K157=3)),0.05,0))</f>
        <v>0</v>
      </c>
      <c r="I47" s="441">
        <f t="shared" si="60"/>
        <v>0</v>
      </c>
      <c r="K47" s="46">
        <f t="shared" si="61"/>
        <v>7</v>
      </c>
      <c r="L47" s="43">
        <f t="shared" si="66"/>
        <v>0</v>
      </c>
      <c r="M47" s="44">
        <f t="shared" si="67"/>
        <v>0</v>
      </c>
      <c r="N47" s="43">
        <f t="shared" si="68"/>
        <v>0</v>
      </c>
      <c r="O47" s="44">
        <f t="shared" si="69"/>
        <v>0</v>
      </c>
      <c r="P47" s="43">
        <f t="shared" si="70"/>
        <v>0</v>
      </c>
      <c r="Q47" s="44">
        <f t="shared" si="71"/>
        <v>0</v>
      </c>
      <c r="R47" s="43">
        <f t="shared" si="72"/>
        <v>0</v>
      </c>
      <c r="S47" s="44">
        <f t="shared" si="73"/>
        <v>0</v>
      </c>
      <c r="T47" s="43">
        <f t="shared" si="74"/>
        <v>0</v>
      </c>
      <c r="U47" s="44">
        <f t="shared" si="75"/>
        <v>0</v>
      </c>
      <c r="V47" s="43">
        <f t="shared" si="76"/>
        <v>0</v>
      </c>
      <c r="W47" s="44">
        <f t="shared" si="77"/>
        <v>0</v>
      </c>
      <c r="X47" s="43">
        <f t="shared" si="78"/>
        <v>0</v>
      </c>
      <c r="Y47" s="44">
        <f t="shared" si="79"/>
        <v>0</v>
      </c>
      <c r="Z47" s="43">
        <f t="shared" si="80"/>
        <v>0</v>
      </c>
      <c r="AA47" s="44">
        <f t="shared" si="81"/>
        <v>0</v>
      </c>
      <c r="AB47" s="43">
        <f t="shared" si="82"/>
        <v>0</v>
      </c>
      <c r="AC47" s="44">
        <f t="shared" si="83"/>
        <v>0</v>
      </c>
      <c r="AD47" s="43">
        <f t="shared" si="84"/>
        <v>0</v>
      </c>
      <c r="AE47" s="44">
        <f t="shared" si="85"/>
        <v>0</v>
      </c>
      <c r="AF47" s="43">
        <f t="shared" si="86"/>
        <v>0</v>
      </c>
      <c r="AG47" s="44">
        <f t="shared" si="87"/>
        <v>0</v>
      </c>
      <c r="AH47" s="43">
        <f t="shared" si="88"/>
        <v>7</v>
      </c>
      <c r="AI47" s="44">
        <f t="shared" si="89"/>
        <v>7</v>
      </c>
      <c r="AK47" s="288" t="str">
        <f t="shared" si="62"/>
        <v> </v>
      </c>
      <c r="AL47" s="289" t="str">
        <f t="shared" si="63"/>
        <v> </v>
      </c>
      <c r="AM47" s="36" t="str">
        <f t="shared" si="64"/>
        <v> </v>
      </c>
      <c r="AN47" s="66" t="str">
        <f t="shared" si="65"/>
        <v> </v>
      </c>
    </row>
    <row r="48" spans="1:40" ht="25.5">
      <c r="A48" s="307">
        <f>'liste améliorations'!A78</f>
        <v>8</v>
      </c>
      <c r="C48" s="72" t="str">
        <f>'liste améliorations'!B78</f>
        <v>Adapter les horaires de la régulation aux horaires d'occupation réels du bâtiment</v>
      </c>
      <c r="D48" s="78" t="s">
        <v>221</v>
      </c>
      <c r="E48" s="469" t="str">
        <f>'liste améliorations'!B79</f>
        <v>… 5% … si l'installation est coupée 14h00 au lieu de 12h00</v>
      </c>
      <c r="F48" s="290">
        <f>'liste améliorations'!C78</f>
        <v>2</v>
      </c>
      <c r="G48" s="291">
        <f>'liste améliorations'!D78</f>
        <v>3</v>
      </c>
      <c r="H48" s="435">
        <f>IF(AND('liens Q R'!K153=1,'liens Q R'!K158=2),'liens Q R'!L158,IF(AND(OR('liens Q R'!K153=1,'liens Q R'!K153=3),OR('liens Q R'!K158=2,'liens Q R'!K158=3)),0.05,0))</f>
        <v>0</v>
      </c>
      <c r="I48" s="441">
        <f t="shared" si="60"/>
        <v>0</v>
      </c>
      <c r="K48" s="46">
        <f t="shared" si="61"/>
        <v>8</v>
      </c>
      <c r="L48" s="43">
        <f t="shared" si="66"/>
        <v>0</v>
      </c>
      <c r="M48" s="44">
        <f t="shared" si="67"/>
        <v>0</v>
      </c>
      <c r="N48" s="43">
        <f t="shared" si="68"/>
        <v>0</v>
      </c>
      <c r="O48" s="44">
        <f t="shared" si="69"/>
        <v>0</v>
      </c>
      <c r="P48" s="43">
        <f t="shared" si="70"/>
        <v>0</v>
      </c>
      <c r="Q48" s="44">
        <f t="shared" si="71"/>
        <v>0</v>
      </c>
      <c r="R48" s="43">
        <f t="shared" si="72"/>
        <v>0</v>
      </c>
      <c r="S48" s="44">
        <f t="shared" si="73"/>
        <v>0</v>
      </c>
      <c r="T48" s="43">
        <f t="shared" si="74"/>
        <v>0</v>
      </c>
      <c r="U48" s="44">
        <f t="shared" si="75"/>
        <v>0</v>
      </c>
      <c r="V48" s="43">
        <f t="shared" si="76"/>
        <v>0</v>
      </c>
      <c r="W48" s="44">
        <f t="shared" si="77"/>
        <v>0</v>
      </c>
      <c r="X48" s="43">
        <f t="shared" si="78"/>
        <v>0</v>
      </c>
      <c r="Y48" s="44">
        <f t="shared" si="79"/>
        <v>0</v>
      </c>
      <c r="Z48" s="43">
        <f t="shared" si="80"/>
        <v>0</v>
      </c>
      <c r="AA48" s="44">
        <f t="shared" si="81"/>
        <v>0</v>
      </c>
      <c r="AB48" s="43">
        <f t="shared" si="82"/>
        <v>0</v>
      </c>
      <c r="AC48" s="44">
        <f t="shared" si="83"/>
        <v>0</v>
      </c>
      <c r="AD48" s="43">
        <f t="shared" si="84"/>
        <v>0</v>
      </c>
      <c r="AE48" s="44">
        <f t="shared" si="85"/>
        <v>0</v>
      </c>
      <c r="AF48" s="43">
        <f t="shared" si="86"/>
        <v>0</v>
      </c>
      <c r="AG48" s="44">
        <f t="shared" si="87"/>
        <v>0</v>
      </c>
      <c r="AH48" s="43">
        <f t="shared" si="88"/>
        <v>8</v>
      </c>
      <c r="AI48" s="44">
        <f t="shared" si="89"/>
        <v>8</v>
      </c>
      <c r="AK48" s="288" t="str">
        <f t="shared" si="62"/>
        <v> </v>
      </c>
      <c r="AL48" s="289" t="str">
        <f t="shared" si="63"/>
        <v> </v>
      </c>
      <c r="AM48" s="36" t="str">
        <f t="shared" si="64"/>
        <v> </v>
      </c>
      <c r="AN48" s="66" t="str">
        <f t="shared" si="65"/>
        <v> </v>
      </c>
    </row>
    <row r="49" spans="1:40" ht="25.5">
      <c r="A49" s="307">
        <f>'liste améliorations'!A72</f>
        <v>5</v>
      </c>
      <c r="C49" s="72" t="str">
        <f>'liste améliorations'!B72</f>
        <v>Arrêter les circulateurs lorsqu'il n'y a pas de besoin de chauffage </v>
      </c>
      <c r="D49" s="317"/>
      <c r="E49" s="469" t="str">
        <f>'liste améliorations'!B73</f>
        <v>50 % de la consommation des circulateurs</v>
      </c>
      <c r="F49" s="290">
        <f>'liste améliorations'!C72</f>
        <v>3</v>
      </c>
      <c r="G49" s="291">
        <f>'liste améliorations'!D72</f>
        <v>3</v>
      </c>
      <c r="H49" s="435">
        <f>'liens Q R'!L162</f>
        <v>0</v>
      </c>
      <c r="I49" s="441">
        <f t="shared" si="60"/>
        <v>0</v>
      </c>
      <c r="K49" s="46">
        <f t="shared" si="61"/>
        <v>9</v>
      </c>
      <c r="L49" s="43">
        <f t="shared" si="66"/>
        <v>0</v>
      </c>
      <c r="M49" s="44">
        <f t="shared" si="67"/>
        <v>0</v>
      </c>
      <c r="N49" s="43">
        <f t="shared" si="68"/>
        <v>0</v>
      </c>
      <c r="O49" s="44">
        <f t="shared" si="69"/>
        <v>0</v>
      </c>
      <c r="P49" s="43">
        <f t="shared" si="70"/>
        <v>0</v>
      </c>
      <c r="Q49" s="44">
        <f t="shared" si="71"/>
        <v>0</v>
      </c>
      <c r="R49" s="43">
        <f t="shared" si="72"/>
        <v>0</v>
      </c>
      <c r="S49" s="44">
        <f t="shared" si="73"/>
        <v>0</v>
      </c>
      <c r="T49" s="43">
        <f t="shared" si="74"/>
        <v>0</v>
      </c>
      <c r="U49" s="44">
        <f t="shared" si="75"/>
        <v>0</v>
      </c>
      <c r="V49" s="43">
        <f t="shared" si="76"/>
        <v>0</v>
      </c>
      <c r="W49" s="44">
        <f t="shared" si="77"/>
        <v>0</v>
      </c>
      <c r="X49" s="43">
        <f t="shared" si="78"/>
        <v>0</v>
      </c>
      <c r="Y49" s="44">
        <f t="shared" si="79"/>
        <v>0</v>
      </c>
      <c r="Z49" s="43">
        <f t="shared" si="80"/>
        <v>0</v>
      </c>
      <c r="AA49" s="44">
        <f t="shared" si="81"/>
        <v>0</v>
      </c>
      <c r="AB49" s="43">
        <f t="shared" si="82"/>
        <v>0</v>
      </c>
      <c r="AC49" s="44">
        <f t="shared" si="83"/>
        <v>0</v>
      </c>
      <c r="AD49" s="43">
        <f t="shared" si="84"/>
        <v>0</v>
      </c>
      <c r="AE49" s="44">
        <f t="shared" si="85"/>
        <v>0</v>
      </c>
      <c r="AF49" s="43">
        <f t="shared" si="86"/>
        <v>0</v>
      </c>
      <c r="AG49" s="44">
        <f t="shared" si="87"/>
        <v>0</v>
      </c>
      <c r="AH49" s="43">
        <f t="shared" si="88"/>
        <v>9</v>
      </c>
      <c r="AI49" s="44">
        <f t="shared" si="89"/>
        <v>9</v>
      </c>
      <c r="AK49" s="288" t="str">
        <f t="shared" si="62"/>
        <v> </v>
      </c>
      <c r="AL49" s="289" t="str">
        <f t="shared" si="63"/>
        <v> </v>
      </c>
      <c r="AM49" s="36" t="str">
        <f t="shared" si="64"/>
        <v> </v>
      </c>
      <c r="AN49" s="66" t="str">
        <f t="shared" si="65"/>
        <v> </v>
      </c>
    </row>
    <row r="50" spans="1:40" ht="12.75">
      <c r="A50" s="307">
        <f>'liste améliorations'!A94</f>
        <v>16</v>
      </c>
      <c r="C50" s="72" t="str">
        <f>'liste améliorations'!B94</f>
        <v>Arrêter la chaudière en été</v>
      </c>
      <c r="D50" s="317"/>
      <c r="E50" s="469" t="str">
        <f>'liste améliorations'!B95</f>
        <v>…2%...</v>
      </c>
      <c r="F50" s="290">
        <f>'liste améliorations'!C94</f>
        <v>1</v>
      </c>
      <c r="G50" s="291">
        <f>'liste améliorations'!D94</f>
        <v>3</v>
      </c>
      <c r="H50" s="435">
        <f>'liens Q R'!L168</f>
        <v>0</v>
      </c>
      <c r="I50" s="441">
        <f t="shared" si="60"/>
        <v>0</v>
      </c>
      <c r="K50" s="46">
        <f t="shared" si="61"/>
        <v>10</v>
      </c>
      <c r="L50" s="43">
        <f t="shared" si="66"/>
        <v>0</v>
      </c>
      <c r="M50" s="44">
        <f t="shared" si="67"/>
        <v>0</v>
      </c>
      <c r="N50" s="43">
        <f t="shared" si="68"/>
        <v>0</v>
      </c>
      <c r="O50" s="44">
        <f t="shared" si="69"/>
        <v>0</v>
      </c>
      <c r="P50" s="43">
        <f t="shared" si="70"/>
        <v>0</v>
      </c>
      <c r="Q50" s="44">
        <f t="shared" si="71"/>
        <v>0</v>
      </c>
      <c r="R50" s="43">
        <f t="shared" si="72"/>
        <v>0</v>
      </c>
      <c r="S50" s="44">
        <f t="shared" si="73"/>
        <v>0</v>
      </c>
      <c r="T50" s="43">
        <f t="shared" si="74"/>
        <v>0</v>
      </c>
      <c r="U50" s="44">
        <f t="shared" si="75"/>
        <v>0</v>
      </c>
      <c r="V50" s="43">
        <f t="shared" si="76"/>
        <v>0</v>
      </c>
      <c r="W50" s="44">
        <f t="shared" si="77"/>
        <v>0</v>
      </c>
      <c r="X50" s="43">
        <f t="shared" si="78"/>
        <v>0</v>
      </c>
      <c r="Y50" s="44">
        <f t="shared" si="79"/>
        <v>0</v>
      </c>
      <c r="Z50" s="43">
        <f t="shared" si="80"/>
        <v>0</v>
      </c>
      <c r="AA50" s="44">
        <f t="shared" si="81"/>
        <v>0</v>
      </c>
      <c r="AB50" s="43">
        <f t="shared" si="82"/>
        <v>0</v>
      </c>
      <c r="AC50" s="44">
        <f t="shared" si="83"/>
        <v>0</v>
      </c>
      <c r="AD50" s="43">
        <f t="shared" si="84"/>
        <v>0</v>
      </c>
      <c r="AE50" s="44">
        <f t="shared" si="85"/>
        <v>0</v>
      </c>
      <c r="AF50" s="43">
        <f t="shared" si="86"/>
        <v>0</v>
      </c>
      <c r="AG50" s="44">
        <f t="shared" si="87"/>
        <v>0</v>
      </c>
      <c r="AH50" s="43">
        <f t="shared" si="88"/>
        <v>10</v>
      </c>
      <c r="AI50" s="44">
        <f t="shared" si="89"/>
        <v>10</v>
      </c>
      <c r="AK50" s="288" t="str">
        <f t="shared" si="62"/>
        <v> </v>
      </c>
      <c r="AL50" s="289" t="str">
        <f t="shared" si="63"/>
        <v> </v>
      </c>
      <c r="AM50" s="36" t="str">
        <f t="shared" si="64"/>
        <v> </v>
      </c>
      <c r="AN50" s="66" t="str">
        <f t="shared" si="65"/>
        <v> </v>
      </c>
    </row>
    <row r="51" spans="1:40" ht="38.25">
      <c r="A51" s="307">
        <f>'liste améliorations'!A92</f>
        <v>15</v>
      </c>
      <c r="C51" s="72" t="str">
        <f>'liste améliorations'!B92</f>
        <v>Réguler l'aquastat pour qu'en été, en dehors des périodes de préparation de l'eau chaude sanitaire, la température de la chaudière retombe à 20°C</v>
      </c>
      <c r="D51" s="72"/>
      <c r="E51" s="469" t="str">
        <f>'liste améliorations'!B93</f>
        <v>…2%...</v>
      </c>
      <c r="F51" s="290">
        <f>'liste améliorations'!C92</f>
        <v>1</v>
      </c>
      <c r="G51" s="291">
        <f>'liste améliorations'!D92</f>
        <v>3</v>
      </c>
      <c r="H51" s="435">
        <f>'liens Q R'!L169</f>
        <v>0</v>
      </c>
      <c r="I51" s="441">
        <f t="shared" si="60"/>
        <v>0</v>
      </c>
      <c r="K51" s="46">
        <f t="shared" si="61"/>
        <v>11</v>
      </c>
      <c r="L51" s="43">
        <f t="shared" si="66"/>
        <v>0</v>
      </c>
      <c r="M51" s="44">
        <f t="shared" si="67"/>
        <v>0</v>
      </c>
      <c r="N51" s="43">
        <f t="shared" si="68"/>
        <v>0</v>
      </c>
      <c r="O51" s="44">
        <f t="shared" si="69"/>
        <v>0</v>
      </c>
      <c r="P51" s="43">
        <f t="shared" si="70"/>
        <v>0</v>
      </c>
      <c r="Q51" s="44">
        <f t="shared" si="71"/>
        <v>0</v>
      </c>
      <c r="R51" s="43">
        <f t="shared" si="72"/>
        <v>0</v>
      </c>
      <c r="S51" s="44">
        <f t="shared" si="73"/>
        <v>0</v>
      </c>
      <c r="T51" s="43">
        <f t="shared" si="74"/>
        <v>0</v>
      </c>
      <c r="U51" s="44">
        <f t="shared" si="75"/>
        <v>0</v>
      </c>
      <c r="V51" s="43">
        <f t="shared" si="76"/>
        <v>0</v>
      </c>
      <c r="W51" s="44">
        <f t="shared" si="77"/>
        <v>0</v>
      </c>
      <c r="X51" s="43">
        <f t="shared" si="78"/>
        <v>0</v>
      </c>
      <c r="Y51" s="44">
        <f t="shared" si="79"/>
        <v>0</v>
      </c>
      <c r="Z51" s="43">
        <f t="shared" si="80"/>
        <v>0</v>
      </c>
      <c r="AA51" s="44">
        <f t="shared" si="81"/>
        <v>0</v>
      </c>
      <c r="AB51" s="43">
        <f t="shared" si="82"/>
        <v>0</v>
      </c>
      <c r="AC51" s="44">
        <f t="shared" si="83"/>
        <v>0</v>
      </c>
      <c r="AD51" s="43">
        <f t="shared" si="84"/>
        <v>0</v>
      </c>
      <c r="AE51" s="44">
        <f t="shared" si="85"/>
        <v>0</v>
      </c>
      <c r="AF51" s="43">
        <f t="shared" si="86"/>
        <v>0</v>
      </c>
      <c r="AG51" s="44">
        <f t="shared" si="87"/>
        <v>0</v>
      </c>
      <c r="AH51" s="43">
        <f t="shared" si="88"/>
        <v>11</v>
      </c>
      <c r="AI51" s="44">
        <f t="shared" si="89"/>
        <v>11</v>
      </c>
      <c r="AK51" s="288" t="str">
        <f t="shared" si="62"/>
        <v> </v>
      </c>
      <c r="AL51" s="289" t="str">
        <f t="shared" si="63"/>
        <v> </v>
      </c>
      <c r="AM51" s="36" t="str">
        <f t="shared" si="64"/>
        <v> </v>
      </c>
      <c r="AN51" s="66" t="str">
        <f t="shared" si="65"/>
        <v> </v>
      </c>
    </row>
    <row r="52" spans="1:40" ht="12.75">
      <c r="A52" s="307">
        <f>'liste améliorations'!A76</f>
        <v>7</v>
      </c>
      <c r="C52" s="72" t="str">
        <f>'liste améliorations'!B76</f>
        <v>Placer un thermostat d'ambiance de compensation</v>
      </c>
      <c r="D52" s="317"/>
      <c r="E52" s="469" t="str">
        <f>'liste améliorations'!B77</f>
        <v>1°C de trop…7 à 8% de surconsommation</v>
      </c>
      <c r="F52" s="290">
        <f>'liste améliorations'!C76</f>
        <v>2</v>
      </c>
      <c r="G52" s="291">
        <f>'liste améliorations'!D76</f>
        <v>3</v>
      </c>
      <c r="H52" s="435">
        <f>'liens Q R'!L174</f>
        <v>0</v>
      </c>
      <c r="I52" s="441">
        <f t="shared" si="60"/>
        <v>0</v>
      </c>
      <c r="K52" s="46">
        <f t="shared" si="61"/>
        <v>12</v>
      </c>
      <c r="L52" s="43">
        <f t="shared" si="66"/>
        <v>0</v>
      </c>
      <c r="M52" s="44">
        <f t="shared" si="67"/>
        <v>0</v>
      </c>
      <c r="N52" s="43">
        <f t="shared" si="68"/>
        <v>0</v>
      </c>
      <c r="O52" s="44">
        <f t="shared" si="69"/>
        <v>0</v>
      </c>
      <c r="P52" s="43">
        <f t="shared" si="70"/>
        <v>0</v>
      </c>
      <c r="Q52" s="44">
        <f t="shared" si="71"/>
        <v>0</v>
      </c>
      <c r="R52" s="43">
        <f t="shared" si="72"/>
        <v>0</v>
      </c>
      <c r="S52" s="44">
        <f t="shared" si="73"/>
        <v>0</v>
      </c>
      <c r="T52" s="43">
        <f t="shared" si="74"/>
        <v>0</v>
      </c>
      <c r="U52" s="44">
        <f t="shared" si="75"/>
        <v>0</v>
      </c>
      <c r="V52" s="43">
        <f t="shared" si="76"/>
        <v>0</v>
      </c>
      <c r="W52" s="44">
        <f t="shared" si="77"/>
        <v>0</v>
      </c>
      <c r="X52" s="43">
        <f t="shared" si="78"/>
        <v>0</v>
      </c>
      <c r="Y52" s="44">
        <f t="shared" si="79"/>
        <v>0</v>
      </c>
      <c r="Z52" s="43">
        <f t="shared" si="80"/>
        <v>0</v>
      </c>
      <c r="AA52" s="44">
        <f t="shared" si="81"/>
        <v>0</v>
      </c>
      <c r="AB52" s="43">
        <f t="shared" si="82"/>
        <v>0</v>
      </c>
      <c r="AC52" s="44">
        <f t="shared" si="83"/>
        <v>0</v>
      </c>
      <c r="AD52" s="43">
        <f t="shared" si="84"/>
        <v>0</v>
      </c>
      <c r="AE52" s="44">
        <f t="shared" si="85"/>
        <v>0</v>
      </c>
      <c r="AF52" s="43">
        <f t="shared" si="86"/>
        <v>0</v>
      </c>
      <c r="AG52" s="44">
        <f t="shared" si="87"/>
        <v>0</v>
      </c>
      <c r="AH52" s="43">
        <f t="shared" si="88"/>
        <v>12</v>
      </c>
      <c r="AI52" s="44">
        <f t="shared" si="89"/>
        <v>12</v>
      </c>
      <c r="AK52" s="288" t="str">
        <f t="shared" si="62"/>
        <v> </v>
      </c>
      <c r="AL52" s="289" t="str">
        <f t="shared" si="63"/>
        <v> </v>
      </c>
      <c r="AM52" s="36" t="str">
        <f t="shared" si="64"/>
        <v> </v>
      </c>
      <c r="AN52" s="66" t="str">
        <f t="shared" si="65"/>
        <v> </v>
      </c>
    </row>
    <row r="53" spans="1:40" s="2" customFormat="1" ht="12.75">
      <c r="A53" s="307">
        <f>'liste améliorations'!A84</f>
        <v>11</v>
      </c>
      <c r="B53" s="3"/>
      <c r="C53" s="72" t="str">
        <f>'liste améliorations'!B84</f>
        <v>Corriger le réglage des courbes de chauffe </v>
      </c>
      <c r="D53" s="78"/>
      <c r="E53" s="469" t="str">
        <f>'liste améliorations'!B85</f>
        <v>1°C de trop…7 à 8% de surconsommation</v>
      </c>
      <c r="F53" s="290">
        <f>'liste améliorations'!C84</f>
        <v>2</v>
      </c>
      <c r="G53" s="291">
        <f>'liste améliorations'!D84</f>
        <v>3</v>
      </c>
      <c r="H53" s="435">
        <f>'liens Q R'!L174</f>
        <v>0</v>
      </c>
      <c r="I53" s="441">
        <f t="shared" si="60"/>
        <v>0</v>
      </c>
      <c r="K53" s="46">
        <f t="shared" si="61"/>
        <v>13</v>
      </c>
      <c r="L53" s="43">
        <f t="shared" si="66"/>
        <v>0</v>
      </c>
      <c r="M53" s="44">
        <f t="shared" si="67"/>
        <v>0</v>
      </c>
      <c r="N53" s="43">
        <f t="shared" si="68"/>
        <v>0</v>
      </c>
      <c r="O53" s="44">
        <f t="shared" si="69"/>
        <v>0</v>
      </c>
      <c r="P53" s="43">
        <f t="shared" si="70"/>
        <v>0</v>
      </c>
      <c r="Q53" s="44">
        <f t="shared" si="71"/>
        <v>0</v>
      </c>
      <c r="R53" s="43">
        <f t="shared" si="72"/>
        <v>0</v>
      </c>
      <c r="S53" s="44">
        <f t="shared" si="73"/>
        <v>0</v>
      </c>
      <c r="T53" s="43">
        <f t="shared" si="74"/>
        <v>0</v>
      </c>
      <c r="U53" s="44">
        <f t="shared" si="75"/>
        <v>0</v>
      </c>
      <c r="V53" s="43">
        <f t="shared" si="76"/>
        <v>0</v>
      </c>
      <c r="W53" s="44">
        <f t="shared" si="77"/>
        <v>0</v>
      </c>
      <c r="X53" s="43">
        <f t="shared" si="78"/>
        <v>0</v>
      </c>
      <c r="Y53" s="44">
        <f t="shared" si="79"/>
        <v>0</v>
      </c>
      <c r="Z53" s="43">
        <f t="shared" si="80"/>
        <v>0</v>
      </c>
      <c r="AA53" s="44">
        <f t="shared" si="81"/>
        <v>0</v>
      </c>
      <c r="AB53" s="43">
        <f t="shared" si="82"/>
        <v>0</v>
      </c>
      <c r="AC53" s="44">
        <f t="shared" si="83"/>
        <v>0</v>
      </c>
      <c r="AD53" s="43">
        <f t="shared" si="84"/>
        <v>0</v>
      </c>
      <c r="AE53" s="44">
        <f t="shared" si="85"/>
        <v>0</v>
      </c>
      <c r="AF53" s="43">
        <f t="shared" si="86"/>
        <v>0</v>
      </c>
      <c r="AG53" s="44">
        <f t="shared" si="87"/>
        <v>0</v>
      </c>
      <c r="AH53" s="43">
        <f t="shared" si="88"/>
        <v>13</v>
      </c>
      <c r="AI53" s="44">
        <f t="shared" si="89"/>
        <v>13</v>
      </c>
      <c r="AK53" s="288" t="str">
        <f t="shared" si="62"/>
        <v> </v>
      </c>
      <c r="AL53" s="289" t="str">
        <f t="shared" si="63"/>
        <v> </v>
      </c>
      <c r="AM53" s="36" t="str">
        <f t="shared" si="64"/>
        <v> </v>
      </c>
      <c r="AN53" s="66" t="str">
        <f t="shared" si="65"/>
        <v> </v>
      </c>
    </row>
    <row r="54" spans="1:40" ht="25.5">
      <c r="A54" s="307">
        <f>'liste améliorations'!A86</f>
        <v>12</v>
      </c>
      <c r="C54" s="72" t="str">
        <f>'liste améliorations'!B86</f>
        <v>Placer des vannes thermostatiques dans les locaux où il y a surchauffe</v>
      </c>
      <c r="D54" s="473" t="s">
        <v>222</v>
      </c>
      <c r="E54" s="469" t="str">
        <f>'liste améliorations'!B87</f>
        <v>1°C de trop…7 à 8% de surconsommation</v>
      </c>
      <c r="F54" s="290">
        <f>'liste améliorations'!C86</f>
        <v>2</v>
      </c>
      <c r="G54" s="291">
        <f>'liste améliorations'!D86</f>
        <v>2</v>
      </c>
      <c r="H54" s="435">
        <f>IF(OR('liens Q R'!K174=2,'liens Q R'!K190=2),MAX('liens Q R'!L174,'liens Q R'!L190),IF(OR('liens Q R'!K174=3,'liens Q R'!K190=3),0.05,0))</f>
        <v>0</v>
      </c>
      <c r="I54" s="441">
        <f t="shared" si="60"/>
        <v>0</v>
      </c>
      <c r="K54" s="46">
        <f t="shared" si="61"/>
        <v>14</v>
      </c>
      <c r="L54" s="43">
        <f t="shared" si="66"/>
        <v>0</v>
      </c>
      <c r="M54" s="44">
        <f t="shared" si="67"/>
        <v>0</v>
      </c>
      <c r="N54" s="43">
        <f t="shared" si="68"/>
        <v>0</v>
      </c>
      <c r="O54" s="44">
        <f t="shared" si="69"/>
        <v>0</v>
      </c>
      <c r="P54" s="43">
        <f t="shared" si="70"/>
        <v>0</v>
      </c>
      <c r="Q54" s="44">
        <f t="shared" si="71"/>
        <v>0</v>
      </c>
      <c r="R54" s="43">
        <f t="shared" si="72"/>
        <v>0</v>
      </c>
      <c r="S54" s="44">
        <f t="shared" si="73"/>
        <v>0</v>
      </c>
      <c r="T54" s="43">
        <f t="shared" si="74"/>
        <v>0</v>
      </c>
      <c r="U54" s="44">
        <f t="shared" si="75"/>
        <v>0</v>
      </c>
      <c r="V54" s="43">
        <f t="shared" si="76"/>
        <v>0</v>
      </c>
      <c r="W54" s="44">
        <f t="shared" si="77"/>
        <v>0</v>
      </c>
      <c r="X54" s="43">
        <f t="shared" si="78"/>
        <v>0</v>
      </c>
      <c r="Y54" s="44">
        <f t="shared" si="79"/>
        <v>0</v>
      </c>
      <c r="Z54" s="43">
        <f t="shared" si="80"/>
        <v>0</v>
      </c>
      <c r="AA54" s="44">
        <f t="shared" si="81"/>
        <v>0</v>
      </c>
      <c r="AB54" s="43">
        <f t="shared" si="82"/>
        <v>0</v>
      </c>
      <c r="AC54" s="44">
        <f t="shared" si="83"/>
        <v>0</v>
      </c>
      <c r="AD54" s="43">
        <f t="shared" si="84"/>
        <v>0</v>
      </c>
      <c r="AE54" s="44">
        <f t="shared" si="85"/>
        <v>0</v>
      </c>
      <c r="AF54" s="43">
        <f t="shared" si="86"/>
        <v>0</v>
      </c>
      <c r="AG54" s="44">
        <f t="shared" si="87"/>
        <v>0</v>
      </c>
      <c r="AH54" s="43">
        <f t="shared" si="88"/>
        <v>14</v>
      </c>
      <c r="AI54" s="44">
        <f t="shared" si="89"/>
        <v>14</v>
      </c>
      <c r="AK54" s="288" t="str">
        <f t="shared" si="62"/>
        <v> </v>
      </c>
      <c r="AL54" s="289" t="str">
        <f t="shared" si="63"/>
        <v> </v>
      </c>
      <c r="AM54" s="36" t="str">
        <f t="shared" si="64"/>
        <v> </v>
      </c>
      <c r="AN54" s="66" t="str">
        <f t="shared" si="65"/>
        <v> </v>
      </c>
    </row>
    <row r="55" spans="1:40" ht="36" customHeight="1">
      <c r="A55" s="307">
        <f>'liste améliorations'!A88</f>
        <v>13</v>
      </c>
      <c r="C55" s="72" t="str">
        <f>'liste améliorations'!B88</f>
        <v>Adapter les consignes des différentes zones thermiques homogènes à leur type d'occupation (passage, activité légère, activité importante,…)</v>
      </c>
      <c r="D55" s="317"/>
      <c r="E55" s="469" t="str">
        <f>'liste améliorations'!B89</f>
        <v>1°C de trop…7 à 8% de surconsommation</v>
      </c>
      <c r="F55" s="290">
        <f>'liste améliorations'!C88</f>
        <v>2</v>
      </c>
      <c r="G55" s="291">
        <f>'liste améliorations'!D88</f>
        <v>3</v>
      </c>
      <c r="H55" s="435">
        <f>'liens Q R'!L178</f>
        <v>0</v>
      </c>
      <c r="I55" s="441">
        <f t="shared" si="60"/>
        <v>0</v>
      </c>
      <c r="K55" s="46">
        <f t="shared" si="61"/>
        <v>15</v>
      </c>
      <c r="L55" s="43">
        <f t="shared" si="66"/>
        <v>0</v>
      </c>
      <c r="M55" s="44">
        <f t="shared" si="67"/>
        <v>0</v>
      </c>
      <c r="N55" s="43">
        <f t="shared" si="68"/>
        <v>0</v>
      </c>
      <c r="O55" s="44">
        <f t="shared" si="69"/>
        <v>0</v>
      </c>
      <c r="P55" s="43">
        <f t="shared" si="70"/>
        <v>0</v>
      </c>
      <c r="Q55" s="44">
        <f t="shared" si="71"/>
        <v>0</v>
      </c>
      <c r="R55" s="43">
        <f t="shared" si="72"/>
        <v>0</v>
      </c>
      <c r="S55" s="44">
        <f t="shared" si="73"/>
        <v>0</v>
      </c>
      <c r="T55" s="43">
        <f t="shared" si="74"/>
        <v>0</v>
      </c>
      <c r="U55" s="44">
        <f t="shared" si="75"/>
        <v>0</v>
      </c>
      <c r="V55" s="43">
        <f t="shared" si="76"/>
        <v>0</v>
      </c>
      <c r="W55" s="44">
        <f t="shared" si="77"/>
        <v>0</v>
      </c>
      <c r="X55" s="43">
        <f t="shared" si="78"/>
        <v>0</v>
      </c>
      <c r="Y55" s="44">
        <f t="shared" si="79"/>
        <v>0</v>
      </c>
      <c r="Z55" s="43">
        <f t="shared" si="80"/>
        <v>0</v>
      </c>
      <c r="AA55" s="44">
        <f t="shared" si="81"/>
        <v>0</v>
      </c>
      <c r="AB55" s="43">
        <f t="shared" si="82"/>
        <v>0</v>
      </c>
      <c r="AC55" s="44">
        <f t="shared" si="83"/>
        <v>0</v>
      </c>
      <c r="AD55" s="43">
        <f t="shared" si="84"/>
        <v>0</v>
      </c>
      <c r="AE55" s="44">
        <f t="shared" si="85"/>
        <v>0</v>
      </c>
      <c r="AF55" s="43">
        <f t="shared" si="86"/>
        <v>0</v>
      </c>
      <c r="AG55" s="44">
        <f t="shared" si="87"/>
        <v>0</v>
      </c>
      <c r="AH55" s="43">
        <f t="shared" si="88"/>
        <v>15</v>
      </c>
      <c r="AI55" s="44">
        <f t="shared" si="89"/>
        <v>15</v>
      </c>
      <c r="AK55" s="288" t="str">
        <f t="shared" si="62"/>
        <v> </v>
      </c>
      <c r="AL55" s="289" t="str">
        <f t="shared" si="63"/>
        <v> </v>
      </c>
      <c r="AM55" s="36" t="str">
        <f t="shared" si="64"/>
        <v> </v>
      </c>
      <c r="AN55" s="66" t="str">
        <f t="shared" si="65"/>
        <v> </v>
      </c>
    </row>
    <row r="56" spans="1:40" s="2" customFormat="1" ht="38.25">
      <c r="A56" s="307">
        <f>'liste améliorations'!A80</f>
        <v>9</v>
      </c>
      <c r="B56" s="3"/>
      <c r="C56" s="72" t="str">
        <f>'liste améliorations'!B80</f>
        <v>Déplacer les sondes d'ambiance mal situées (à proximité d'une source chaude ou froide, trop près des fenêtres ou de la bouche de ventilation, ... )</v>
      </c>
      <c r="D56" s="79"/>
      <c r="E56" s="471" t="str">
        <f>'liste améliorations'!B81</f>
        <v>1°C de trop…7 à 8% de surconsommation</v>
      </c>
      <c r="F56" s="293">
        <f>'liste améliorations'!C80</f>
        <v>2</v>
      </c>
      <c r="G56" s="294">
        <f>'liste améliorations'!D80</f>
        <v>3</v>
      </c>
      <c r="H56" s="435">
        <f>'liens Q R'!L182</f>
        <v>0</v>
      </c>
      <c r="I56" s="441">
        <f t="shared" si="60"/>
        <v>0</v>
      </c>
      <c r="K56" s="46">
        <f t="shared" si="61"/>
        <v>16</v>
      </c>
      <c r="L56" s="43">
        <f t="shared" si="66"/>
        <v>0</v>
      </c>
      <c r="M56" s="44">
        <f t="shared" si="67"/>
        <v>0</v>
      </c>
      <c r="N56" s="43">
        <f t="shared" si="68"/>
        <v>0</v>
      </c>
      <c r="O56" s="44">
        <f t="shared" si="69"/>
        <v>0</v>
      </c>
      <c r="P56" s="43">
        <f t="shared" si="70"/>
        <v>0</v>
      </c>
      <c r="Q56" s="44">
        <f t="shared" si="71"/>
        <v>0</v>
      </c>
      <c r="R56" s="43">
        <f t="shared" si="72"/>
        <v>0</v>
      </c>
      <c r="S56" s="44">
        <f t="shared" si="73"/>
        <v>0</v>
      </c>
      <c r="T56" s="43">
        <f t="shared" si="74"/>
        <v>0</v>
      </c>
      <c r="U56" s="44">
        <f t="shared" si="75"/>
        <v>0</v>
      </c>
      <c r="V56" s="43">
        <f t="shared" si="76"/>
        <v>0</v>
      </c>
      <c r="W56" s="44">
        <f t="shared" si="77"/>
        <v>0</v>
      </c>
      <c r="X56" s="43">
        <f t="shared" si="78"/>
        <v>0</v>
      </c>
      <c r="Y56" s="44">
        <f t="shared" si="79"/>
        <v>0</v>
      </c>
      <c r="Z56" s="43">
        <f t="shared" si="80"/>
        <v>0</v>
      </c>
      <c r="AA56" s="44">
        <f t="shared" si="81"/>
        <v>0</v>
      </c>
      <c r="AB56" s="43">
        <f t="shared" si="82"/>
        <v>0</v>
      </c>
      <c r="AC56" s="44">
        <f t="shared" si="83"/>
        <v>0</v>
      </c>
      <c r="AD56" s="43">
        <f t="shared" si="84"/>
        <v>0</v>
      </c>
      <c r="AE56" s="44">
        <f t="shared" si="85"/>
        <v>0</v>
      </c>
      <c r="AF56" s="43">
        <f t="shared" si="86"/>
        <v>0</v>
      </c>
      <c r="AG56" s="44">
        <f t="shared" si="87"/>
        <v>0</v>
      </c>
      <c r="AH56" s="43">
        <f t="shared" si="88"/>
        <v>16</v>
      </c>
      <c r="AI56" s="44">
        <f t="shared" si="89"/>
        <v>16</v>
      </c>
      <c r="AK56" s="288" t="str">
        <f t="shared" si="62"/>
        <v> </v>
      </c>
      <c r="AL56" s="289" t="str">
        <f t="shared" si="63"/>
        <v> </v>
      </c>
      <c r="AM56" s="36" t="str">
        <f t="shared" si="64"/>
        <v> </v>
      </c>
      <c r="AN56" s="66" t="str">
        <f t="shared" si="65"/>
        <v> </v>
      </c>
    </row>
    <row r="57" spans="1:40" ht="38.25">
      <c r="A57" s="307">
        <f>'liste améliorations'!A68</f>
        <v>3</v>
      </c>
      <c r="C57" s="72" t="str">
        <f>'liste améliorations'!B68</f>
        <v>Sensibiliser les occupants à utiliser les vannes thermostatiques (ou commandes des unités terminales) plutôt que d'ouvrir les fenêtres en cas de surchauffe.</v>
      </c>
      <c r="D57" s="72"/>
      <c r="E57" s="471" t="str">
        <f>'liste améliorations'!B69</f>
        <v>1°C de trop…7 à 8% de surconsommation</v>
      </c>
      <c r="F57" s="290">
        <f>'liste améliorations'!C68</f>
        <v>3</v>
      </c>
      <c r="G57" s="291">
        <f>'liste améliorations'!D68</f>
        <v>3</v>
      </c>
      <c r="H57" s="437">
        <f>'liens Q R'!L197</f>
        <v>0</v>
      </c>
      <c r="I57" s="441">
        <f t="shared" si="60"/>
        <v>0</v>
      </c>
      <c r="K57" s="46">
        <f t="shared" si="61"/>
        <v>17</v>
      </c>
      <c r="L57" s="43">
        <f t="shared" si="66"/>
        <v>0</v>
      </c>
      <c r="M57" s="44">
        <f t="shared" si="67"/>
        <v>0</v>
      </c>
      <c r="N57" s="43">
        <f t="shared" si="68"/>
        <v>0</v>
      </c>
      <c r="O57" s="44">
        <f t="shared" si="69"/>
        <v>0</v>
      </c>
      <c r="P57" s="43">
        <f t="shared" si="70"/>
        <v>0</v>
      </c>
      <c r="Q57" s="44">
        <f t="shared" si="71"/>
        <v>0</v>
      </c>
      <c r="R57" s="43">
        <f t="shared" si="72"/>
        <v>0</v>
      </c>
      <c r="S57" s="44">
        <f t="shared" si="73"/>
        <v>0</v>
      </c>
      <c r="T57" s="43">
        <f t="shared" si="74"/>
        <v>0</v>
      </c>
      <c r="U57" s="44">
        <f t="shared" si="75"/>
        <v>0</v>
      </c>
      <c r="V57" s="43">
        <f t="shared" si="76"/>
        <v>0</v>
      </c>
      <c r="W57" s="44">
        <f t="shared" si="77"/>
        <v>0</v>
      </c>
      <c r="X57" s="43">
        <f t="shared" si="78"/>
        <v>0</v>
      </c>
      <c r="Y57" s="44">
        <f t="shared" si="79"/>
        <v>0</v>
      </c>
      <c r="Z57" s="43">
        <f t="shared" si="80"/>
        <v>0</v>
      </c>
      <c r="AA57" s="44">
        <f t="shared" si="81"/>
        <v>0</v>
      </c>
      <c r="AB57" s="43">
        <f t="shared" si="82"/>
        <v>0</v>
      </c>
      <c r="AC57" s="44">
        <f t="shared" si="83"/>
        <v>0</v>
      </c>
      <c r="AD57" s="43">
        <f t="shared" si="84"/>
        <v>0</v>
      </c>
      <c r="AE57" s="44">
        <f t="shared" si="85"/>
        <v>0</v>
      </c>
      <c r="AF57" s="43">
        <f t="shared" si="86"/>
        <v>0</v>
      </c>
      <c r="AG57" s="44">
        <f t="shared" si="87"/>
        <v>0</v>
      </c>
      <c r="AH57" s="43">
        <f t="shared" si="88"/>
        <v>17</v>
      </c>
      <c r="AI57" s="44">
        <f t="shared" si="89"/>
        <v>17</v>
      </c>
      <c r="AK57" s="288" t="str">
        <f t="shared" si="62"/>
        <v> </v>
      </c>
      <c r="AL57" s="289" t="str">
        <f t="shared" si="63"/>
        <v> </v>
      </c>
      <c r="AM57" s="36" t="str">
        <f t="shared" si="64"/>
        <v> </v>
      </c>
      <c r="AN57" s="66" t="str">
        <f t="shared" si="65"/>
        <v> </v>
      </c>
    </row>
    <row r="58" spans="1:40" ht="12.75">
      <c r="A58" s="307">
        <f>'liste améliorations'!A90</f>
        <v>14</v>
      </c>
      <c r="C58" s="72" t="str">
        <f>'liste améliorations'!B90</f>
        <v>Contrôler les brûleurs plusieurs fois par an</v>
      </c>
      <c r="D58" s="72"/>
      <c r="E58" s="471" t="str">
        <f>'liste améliorations'!B91</f>
        <v> </v>
      </c>
      <c r="F58" s="290">
        <f>'liste améliorations'!C90</f>
        <v>1</v>
      </c>
      <c r="G58" s="291">
        <f>'liste améliorations'!D90</f>
        <v>3</v>
      </c>
      <c r="H58" s="437">
        <f>'liens Q R'!L203</f>
        <v>0</v>
      </c>
      <c r="I58" s="441">
        <f t="shared" si="60"/>
        <v>0</v>
      </c>
      <c r="K58" s="46">
        <f t="shared" si="61"/>
        <v>18</v>
      </c>
      <c r="L58" s="43">
        <f t="shared" si="66"/>
        <v>0</v>
      </c>
      <c r="M58" s="44">
        <f t="shared" si="67"/>
        <v>0</v>
      </c>
      <c r="N58" s="43">
        <f t="shared" si="68"/>
        <v>0</v>
      </c>
      <c r="O58" s="44">
        <f t="shared" si="69"/>
        <v>0</v>
      </c>
      <c r="P58" s="43">
        <f t="shared" si="70"/>
        <v>0</v>
      </c>
      <c r="Q58" s="44">
        <f t="shared" si="71"/>
        <v>0</v>
      </c>
      <c r="R58" s="43">
        <f t="shared" si="72"/>
        <v>0</v>
      </c>
      <c r="S58" s="44">
        <f t="shared" si="73"/>
        <v>0</v>
      </c>
      <c r="T58" s="43">
        <f t="shared" si="74"/>
        <v>0</v>
      </c>
      <c r="U58" s="44">
        <f t="shared" si="75"/>
        <v>0</v>
      </c>
      <c r="V58" s="43">
        <f t="shared" si="76"/>
        <v>0</v>
      </c>
      <c r="W58" s="44">
        <f t="shared" si="77"/>
        <v>0</v>
      </c>
      <c r="X58" s="43">
        <f t="shared" si="78"/>
        <v>0</v>
      </c>
      <c r="Y58" s="44">
        <f t="shared" si="79"/>
        <v>0</v>
      </c>
      <c r="Z58" s="43">
        <f t="shared" si="80"/>
        <v>0</v>
      </c>
      <c r="AA58" s="44">
        <f t="shared" si="81"/>
        <v>0</v>
      </c>
      <c r="AB58" s="43">
        <f t="shared" si="82"/>
        <v>0</v>
      </c>
      <c r="AC58" s="44">
        <f t="shared" si="83"/>
        <v>0</v>
      </c>
      <c r="AD58" s="43">
        <f t="shared" si="84"/>
        <v>0</v>
      </c>
      <c r="AE58" s="44">
        <f t="shared" si="85"/>
        <v>0</v>
      </c>
      <c r="AF58" s="43">
        <f t="shared" si="86"/>
        <v>0</v>
      </c>
      <c r="AG58" s="44">
        <f t="shared" si="87"/>
        <v>0</v>
      </c>
      <c r="AH58" s="43">
        <f t="shared" si="88"/>
        <v>18</v>
      </c>
      <c r="AI58" s="44">
        <f t="shared" si="89"/>
        <v>18</v>
      </c>
      <c r="AK58" s="288" t="str">
        <f t="shared" si="62"/>
        <v> </v>
      </c>
      <c r="AL58" s="289" t="str">
        <f t="shared" si="63"/>
        <v> </v>
      </c>
      <c r="AM58" s="36" t="str">
        <f t="shared" si="64"/>
        <v> </v>
      </c>
      <c r="AN58" s="66" t="str">
        <f t="shared" si="65"/>
        <v> </v>
      </c>
    </row>
    <row r="59" spans="1:40" ht="12.75">
      <c r="A59" s="307">
        <f>'liste améliorations'!A102</f>
        <v>20</v>
      </c>
      <c r="B59" s="179"/>
      <c r="C59" s="72" t="str">
        <f>'liste améliorations'!B102</f>
        <v>Chercher la cause de l'insuffisance d'eau, l'origine de la fuite</v>
      </c>
      <c r="D59" s="74"/>
      <c r="E59" s="471" t="str">
        <f>'liste améliorations'!B103</f>
        <v>Evite l'ajout d'eau trop fréquent dans la chaudière, entraînant une détérioration par corrosion de l'installation et une surconsommation due à l'entartrage  </v>
      </c>
      <c r="F59" s="290" t="str">
        <f>'liste améliorations'!C102</f>
        <v>-</v>
      </c>
      <c r="G59" s="291">
        <f>'liste améliorations'!D102</f>
        <v>3</v>
      </c>
      <c r="H59" s="435">
        <f>'liens Q R'!L209</f>
        <v>0</v>
      </c>
      <c r="I59" s="443">
        <f>1*G59*H59</f>
        <v>0</v>
      </c>
      <c r="K59" s="46">
        <f t="shared" si="61"/>
        <v>19</v>
      </c>
      <c r="L59" s="43">
        <f t="shared" si="66"/>
        <v>0</v>
      </c>
      <c r="M59" s="44">
        <f t="shared" si="67"/>
        <v>0</v>
      </c>
      <c r="N59" s="43">
        <f t="shared" si="68"/>
        <v>0</v>
      </c>
      <c r="O59" s="44">
        <f t="shared" si="69"/>
        <v>0</v>
      </c>
      <c r="P59" s="43">
        <f t="shared" si="70"/>
        <v>0</v>
      </c>
      <c r="Q59" s="44">
        <f t="shared" si="71"/>
        <v>0</v>
      </c>
      <c r="R59" s="43">
        <f t="shared" si="72"/>
        <v>0</v>
      </c>
      <c r="S59" s="44">
        <f t="shared" si="73"/>
        <v>0</v>
      </c>
      <c r="T59" s="43">
        <f t="shared" si="74"/>
        <v>0</v>
      </c>
      <c r="U59" s="44">
        <f t="shared" si="75"/>
        <v>0</v>
      </c>
      <c r="V59" s="43">
        <f t="shared" si="76"/>
        <v>0</v>
      </c>
      <c r="W59" s="44">
        <f t="shared" si="77"/>
        <v>0</v>
      </c>
      <c r="X59" s="43">
        <f t="shared" si="78"/>
        <v>0</v>
      </c>
      <c r="Y59" s="44">
        <f t="shared" si="79"/>
        <v>0</v>
      </c>
      <c r="Z59" s="43">
        <f t="shared" si="80"/>
        <v>0</v>
      </c>
      <c r="AA59" s="44">
        <f t="shared" si="81"/>
        <v>0</v>
      </c>
      <c r="AB59" s="43">
        <f t="shared" si="82"/>
        <v>0</v>
      </c>
      <c r="AC59" s="44">
        <f t="shared" si="83"/>
        <v>0</v>
      </c>
      <c r="AD59" s="43">
        <f t="shared" si="84"/>
        <v>0</v>
      </c>
      <c r="AE59" s="44">
        <f t="shared" si="85"/>
        <v>0</v>
      </c>
      <c r="AF59" s="43">
        <f t="shared" si="86"/>
        <v>0</v>
      </c>
      <c r="AG59" s="44">
        <f t="shared" si="87"/>
        <v>0</v>
      </c>
      <c r="AH59" s="43">
        <f t="shared" si="88"/>
        <v>19</v>
      </c>
      <c r="AI59" s="44">
        <f t="shared" si="89"/>
        <v>19</v>
      </c>
      <c r="AK59" s="288" t="str">
        <f t="shared" si="62"/>
        <v> </v>
      </c>
      <c r="AL59" s="289" t="str">
        <f t="shared" si="63"/>
        <v> </v>
      </c>
      <c r="AM59" s="36" t="str">
        <f t="shared" si="64"/>
        <v> </v>
      </c>
      <c r="AN59" s="66" t="str">
        <f t="shared" si="65"/>
        <v> </v>
      </c>
    </row>
    <row r="60" spans="1:40" ht="12.75">
      <c r="A60" s="307">
        <f>'liste améliorations'!A100</f>
        <v>19</v>
      </c>
      <c r="C60" s="72" t="str">
        <f>'liste améliorations'!B100</f>
        <v>Remplacer le vase d'expansion</v>
      </c>
      <c r="D60" s="317"/>
      <c r="E60" s="469" t="str">
        <f>'liste améliorations'!B101</f>
        <v>Evite un manque d'eau entraînant un mauvais fonctionnement, ou un ajout d'eau trop fréquent</v>
      </c>
      <c r="F60" s="290" t="str">
        <f>'liste améliorations'!C100</f>
        <v>-</v>
      </c>
      <c r="G60" s="294">
        <f>'liste améliorations'!D100</f>
        <v>3</v>
      </c>
      <c r="H60" s="435">
        <f>'liens Q R'!L213</f>
        <v>0</v>
      </c>
      <c r="I60" s="441">
        <f>1*G60*H60</f>
        <v>0</v>
      </c>
      <c r="K60" s="46">
        <f t="shared" si="61"/>
        <v>20</v>
      </c>
      <c r="L60" s="43">
        <f t="shared" si="66"/>
        <v>0</v>
      </c>
      <c r="M60" s="44">
        <f t="shared" si="67"/>
        <v>0</v>
      </c>
      <c r="N60" s="43">
        <f t="shared" si="68"/>
        <v>0</v>
      </c>
      <c r="O60" s="44">
        <f t="shared" si="69"/>
        <v>0</v>
      </c>
      <c r="P60" s="43">
        <f t="shared" si="70"/>
        <v>0</v>
      </c>
      <c r="Q60" s="44">
        <f t="shared" si="71"/>
        <v>0</v>
      </c>
      <c r="R60" s="43">
        <f t="shared" si="72"/>
        <v>0</v>
      </c>
      <c r="S60" s="44">
        <f t="shared" si="73"/>
        <v>0</v>
      </c>
      <c r="T60" s="43">
        <f t="shared" si="74"/>
        <v>0</v>
      </c>
      <c r="U60" s="44">
        <f t="shared" si="75"/>
        <v>0</v>
      </c>
      <c r="V60" s="43">
        <f t="shared" si="76"/>
        <v>0</v>
      </c>
      <c r="W60" s="44">
        <f t="shared" si="77"/>
        <v>0</v>
      </c>
      <c r="X60" s="43">
        <f t="shared" si="78"/>
        <v>0</v>
      </c>
      <c r="Y60" s="44">
        <f t="shared" si="79"/>
        <v>0</v>
      </c>
      <c r="Z60" s="43">
        <f t="shared" si="80"/>
        <v>0</v>
      </c>
      <c r="AA60" s="44">
        <f t="shared" si="81"/>
        <v>0</v>
      </c>
      <c r="AB60" s="43">
        <f t="shared" si="82"/>
        <v>0</v>
      </c>
      <c r="AC60" s="44">
        <f t="shared" si="83"/>
        <v>0</v>
      </c>
      <c r="AD60" s="43">
        <f t="shared" si="84"/>
        <v>0</v>
      </c>
      <c r="AE60" s="44">
        <f t="shared" si="85"/>
        <v>0</v>
      </c>
      <c r="AF60" s="43">
        <f t="shared" si="86"/>
        <v>0</v>
      </c>
      <c r="AG60" s="44">
        <f t="shared" si="87"/>
        <v>0</v>
      </c>
      <c r="AH60" s="43">
        <f t="shared" si="88"/>
        <v>20</v>
      </c>
      <c r="AI60" s="44">
        <f t="shared" si="89"/>
        <v>20</v>
      </c>
      <c r="AK60" s="288" t="str">
        <f t="shared" si="62"/>
        <v> </v>
      </c>
      <c r="AL60" s="289" t="str">
        <f t="shared" si="63"/>
        <v> </v>
      </c>
      <c r="AM60" s="36" t="str">
        <f t="shared" si="64"/>
        <v> </v>
      </c>
      <c r="AN60" s="66" t="str">
        <f t="shared" si="65"/>
        <v> </v>
      </c>
    </row>
    <row r="61" spans="1:4" ht="12.75">
      <c r="A61" s="73"/>
      <c r="C61" s="65"/>
      <c r="D61" s="65"/>
    </row>
    <row r="62" spans="3:4" ht="12.75">
      <c r="C62" s="65"/>
      <c r="D62" s="65"/>
    </row>
    <row r="63" spans="3:4" ht="12.75">
      <c r="C63" s="65"/>
      <c r="D63" s="65"/>
    </row>
    <row r="64" spans="3:4" ht="12.75">
      <c r="C64" s="65"/>
      <c r="D64" s="65"/>
    </row>
    <row r="65" spans="3:4" ht="12.75">
      <c r="C65" s="65"/>
      <c r="D65" s="65"/>
    </row>
    <row r="66" spans="3:4" ht="12.75">
      <c r="C66" s="65"/>
      <c r="D66" s="65"/>
    </row>
    <row r="67" spans="3:4" ht="12.75">
      <c r="C67" s="65"/>
      <c r="D67" s="65"/>
    </row>
    <row r="68" spans="3:4" ht="12.75">
      <c r="C68" s="65"/>
      <c r="D68" s="65"/>
    </row>
    <row r="69" spans="3:4" ht="12.75">
      <c r="C69" s="65"/>
      <c r="D69" s="65"/>
    </row>
    <row r="70" spans="3:4" ht="12.75">
      <c r="C70" s="65"/>
      <c r="D70" s="65"/>
    </row>
    <row r="71" spans="3:4" ht="12.75">
      <c r="C71" s="65"/>
      <c r="D71" s="65"/>
    </row>
    <row r="72" spans="3:4" ht="12.75">
      <c r="C72" s="65"/>
      <c r="D72" s="65"/>
    </row>
    <row r="73" spans="3:4" ht="12.75">
      <c r="C73" s="65"/>
      <c r="D73" s="65"/>
    </row>
    <row r="74" spans="3:4" ht="12.75">
      <c r="C74" s="65"/>
      <c r="D74" s="65"/>
    </row>
    <row r="75" spans="3:4" ht="12.75">
      <c r="C75" s="65"/>
      <c r="D75" s="65"/>
    </row>
    <row r="76" spans="3:4" ht="12.75">
      <c r="C76" s="65"/>
      <c r="D76" s="65"/>
    </row>
    <row r="77" spans="3:4" ht="12.75">
      <c r="C77" s="65"/>
      <c r="D77" s="65"/>
    </row>
    <row r="78" spans="3:4" ht="12.75">
      <c r="C78" s="65"/>
      <c r="D78" s="65"/>
    </row>
    <row r="79" spans="3:4" ht="12.75">
      <c r="C79" s="65"/>
      <c r="D79" s="65"/>
    </row>
    <row r="80" spans="3:4" ht="12.75">
      <c r="C80" s="65"/>
      <c r="D80" s="65"/>
    </row>
    <row r="81" spans="3:4" ht="12.75">
      <c r="C81" s="65"/>
      <c r="D81" s="65"/>
    </row>
    <row r="82" spans="3:4" ht="12.75">
      <c r="C82" s="65"/>
      <c r="D82" s="65"/>
    </row>
    <row r="83" spans="3:4" ht="12.75">
      <c r="C83" s="65"/>
      <c r="D83" s="65"/>
    </row>
    <row r="84" spans="3:4" ht="12.75">
      <c r="C84" s="65"/>
      <c r="D84" s="65"/>
    </row>
    <row r="85" spans="3:4" ht="12.75">
      <c r="C85" s="65"/>
      <c r="D85" s="65"/>
    </row>
    <row r="86" spans="3:4" ht="12.75">
      <c r="C86" s="65"/>
      <c r="D86" s="65"/>
    </row>
    <row r="87" spans="3:4" ht="12.75">
      <c r="C87" s="65"/>
      <c r="D87" s="65"/>
    </row>
    <row r="88" spans="3:4" ht="12.75">
      <c r="C88" s="65"/>
      <c r="D88" s="65"/>
    </row>
    <row r="89" spans="3:4" ht="12.75">
      <c r="C89" s="65"/>
      <c r="D89" s="65"/>
    </row>
    <row r="90" spans="3:4" ht="12.75">
      <c r="C90" s="65"/>
      <c r="D90" s="65"/>
    </row>
    <row r="91" spans="3:4" ht="12.75">
      <c r="C91" s="65"/>
      <c r="D91" s="65"/>
    </row>
    <row r="92" spans="3:4" ht="12.75">
      <c r="C92" s="65"/>
      <c r="D92" s="65"/>
    </row>
    <row r="93" spans="3:4" ht="12.75">
      <c r="C93" s="65"/>
      <c r="D93" s="65"/>
    </row>
    <row r="94" spans="3:4" ht="12.75">
      <c r="C94" s="65"/>
      <c r="D94" s="65"/>
    </row>
    <row r="95" spans="3:4" ht="12.75">
      <c r="C95" s="65"/>
      <c r="D95" s="65"/>
    </row>
    <row r="96" spans="3:4" ht="12.75">
      <c r="C96" s="65"/>
      <c r="D96" s="65"/>
    </row>
    <row r="97" spans="3:4" ht="12.75">
      <c r="C97" s="65"/>
      <c r="D97" s="65"/>
    </row>
    <row r="98" spans="3:4" ht="12.75">
      <c r="C98" s="65"/>
      <c r="D98" s="65"/>
    </row>
    <row r="99" spans="3:4" ht="12.75">
      <c r="C99" s="65"/>
      <c r="D99" s="65"/>
    </row>
    <row r="100" spans="3:4" ht="12.75">
      <c r="C100" s="65"/>
      <c r="D100" s="65"/>
    </row>
    <row r="101" spans="3:4" ht="12.75">
      <c r="C101" s="65"/>
      <c r="D101" s="65"/>
    </row>
    <row r="102" spans="3:4" ht="12.75">
      <c r="C102" s="65"/>
      <c r="D102" s="65"/>
    </row>
    <row r="103" spans="3:4" ht="12.75">
      <c r="C103" s="65"/>
      <c r="D103" s="65"/>
    </row>
    <row r="104" spans="3:4" ht="12.75">
      <c r="C104" s="65"/>
      <c r="D104" s="65"/>
    </row>
    <row r="105" spans="3:4" ht="12.75">
      <c r="C105" s="65"/>
      <c r="D105" s="65"/>
    </row>
    <row r="106" spans="3:4" ht="12.75">
      <c r="C106" s="65"/>
      <c r="D106" s="65"/>
    </row>
    <row r="107" spans="3:4" ht="12.75">
      <c r="C107" s="65"/>
      <c r="D107" s="65"/>
    </row>
    <row r="108" spans="3:4" ht="12.75">
      <c r="C108" s="65"/>
      <c r="D108" s="65"/>
    </row>
    <row r="109" spans="3:4" ht="12.75">
      <c r="C109" s="65"/>
      <c r="D109" s="65"/>
    </row>
    <row r="110" spans="3:4" ht="12.75">
      <c r="C110" s="65"/>
      <c r="D110" s="65"/>
    </row>
    <row r="111" spans="3:4" ht="12.75">
      <c r="C111" s="65"/>
      <c r="D111" s="65"/>
    </row>
    <row r="112" spans="3:4" ht="12.75">
      <c r="C112" s="65"/>
      <c r="D112" s="65"/>
    </row>
    <row r="113" spans="3:4" ht="12.75">
      <c r="C113" s="65"/>
      <c r="D113" s="65"/>
    </row>
    <row r="114" spans="3:4" ht="12.75">
      <c r="C114" s="65"/>
      <c r="D114" s="65"/>
    </row>
    <row r="115" spans="3:4" ht="12.75">
      <c r="C115" s="65"/>
      <c r="D115" s="65"/>
    </row>
    <row r="116" spans="3:4" ht="12.75">
      <c r="C116" s="65"/>
      <c r="D116" s="65"/>
    </row>
    <row r="117" spans="3:4" ht="12.75">
      <c r="C117" s="65"/>
      <c r="D117" s="65"/>
    </row>
    <row r="118" spans="3:4" ht="12.75">
      <c r="C118" s="65"/>
      <c r="D118" s="65"/>
    </row>
    <row r="119" spans="3:4" ht="12.75">
      <c r="C119" s="65"/>
      <c r="D119" s="65"/>
    </row>
    <row r="120" spans="3:4" ht="12.75">
      <c r="C120" s="65"/>
      <c r="D120" s="65"/>
    </row>
    <row r="121" spans="3:4" ht="12.75">
      <c r="C121" s="65"/>
      <c r="D121" s="65"/>
    </row>
    <row r="122" spans="3:4" ht="12.75">
      <c r="C122" s="65"/>
      <c r="D122" s="65"/>
    </row>
    <row r="123" spans="3:4" ht="12.75">
      <c r="C123" s="65"/>
      <c r="D123" s="65"/>
    </row>
    <row r="124" spans="3:4" ht="12.75">
      <c r="C124" s="65"/>
      <c r="D124" s="65"/>
    </row>
    <row r="125" spans="3:4" ht="12.75">
      <c r="C125" s="65"/>
      <c r="D125" s="65"/>
    </row>
    <row r="126" spans="3:4" ht="12.75">
      <c r="C126" s="65"/>
      <c r="D126" s="65"/>
    </row>
    <row r="127" spans="3:4" ht="12.75">
      <c r="C127" s="65"/>
      <c r="D127" s="65"/>
    </row>
    <row r="128" spans="3:4" ht="12.75">
      <c r="C128" s="65"/>
      <c r="D128" s="65"/>
    </row>
    <row r="129" spans="3:4" ht="12.75">
      <c r="C129" s="65"/>
      <c r="D129" s="65"/>
    </row>
    <row r="130" spans="3:4" ht="12.75">
      <c r="C130" s="65"/>
      <c r="D130" s="65"/>
    </row>
    <row r="131" spans="3:4" ht="12.75">
      <c r="C131" s="65"/>
      <c r="D131" s="65"/>
    </row>
    <row r="132" spans="3:4" ht="12.75">
      <c r="C132" s="65"/>
      <c r="D132" s="65"/>
    </row>
    <row r="133" spans="3:4" ht="12.75">
      <c r="C133" s="65"/>
      <c r="D133" s="65"/>
    </row>
    <row r="134" spans="3:4" ht="12.75">
      <c r="C134" s="65"/>
      <c r="D134" s="65"/>
    </row>
    <row r="135" spans="3:4" ht="12.75">
      <c r="C135" s="65"/>
      <c r="D135" s="65"/>
    </row>
    <row r="136" spans="3:4" ht="12.75">
      <c r="C136" s="65"/>
      <c r="D136" s="65"/>
    </row>
    <row r="137" spans="3:4" ht="12.75">
      <c r="C137" s="65"/>
      <c r="D137" s="65"/>
    </row>
    <row r="138" spans="3:4" ht="12.75">
      <c r="C138" s="65"/>
      <c r="D138" s="65"/>
    </row>
    <row r="139" spans="3:4" ht="12.75">
      <c r="C139" s="65"/>
      <c r="D139" s="65"/>
    </row>
    <row r="140" spans="3:4" ht="12.75">
      <c r="C140" s="65"/>
      <c r="D140" s="65"/>
    </row>
    <row r="141" spans="3:4" ht="12.75">
      <c r="C141" s="65"/>
      <c r="D141" s="65"/>
    </row>
    <row r="142" spans="3:4" ht="12.75">
      <c r="C142" s="65"/>
      <c r="D142" s="65"/>
    </row>
    <row r="143" spans="3:4" ht="12.75">
      <c r="C143" s="65"/>
      <c r="D143" s="65"/>
    </row>
    <row r="144" spans="3:4" ht="12.75">
      <c r="C144" s="65"/>
      <c r="D144" s="65"/>
    </row>
    <row r="145" spans="3:4" ht="12.75">
      <c r="C145" s="65"/>
      <c r="D145" s="65"/>
    </row>
    <row r="146" spans="3:4" ht="12.75">
      <c r="C146" s="65"/>
      <c r="D146" s="65"/>
    </row>
    <row r="147" spans="3:4" ht="12.75">
      <c r="C147" s="65"/>
      <c r="D147" s="65"/>
    </row>
    <row r="148" spans="3:4" ht="12.75">
      <c r="C148" s="65"/>
      <c r="D148" s="65"/>
    </row>
    <row r="149" spans="3:4" ht="12.75">
      <c r="C149" s="65"/>
      <c r="D149" s="65"/>
    </row>
    <row r="150" spans="3:4" ht="12.75">
      <c r="C150" s="65"/>
      <c r="D150" s="65"/>
    </row>
    <row r="151" spans="3:4" ht="12.75">
      <c r="C151" s="65"/>
      <c r="D151" s="65"/>
    </row>
    <row r="152" spans="3:4" ht="12.75">
      <c r="C152" s="65"/>
      <c r="D152" s="65"/>
    </row>
    <row r="153" spans="3:4" ht="12.75">
      <c r="C153" s="65"/>
      <c r="D153" s="65"/>
    </row>
    <row r="154" spans="3:4" ht="12.75">
      <c r="C154" s="65"/>
      <c r="D154" s="65"/>
    </row>
    <row r="155" spans="3:4" ht="12.75">
      <c r="C155" s="65"/>
      <c r="D155" s="65"/>
    </row>
    <row r="156" spans="3:4" ht="12.75">
      <c r="C156" s="65"/>
      <c r="D156" s="65"/>
    </row>
    <row r="157" spans="3:4" ht="12.75">
      <c r="C157" s="65"/>
      <c r="D157" s="65"/>
    </row>
    <row r="158" spans="3:4" ht="12.75">
      <c r="C158" s="65"/>
      <c r="D158" s="65"/>
    </row>
    <row r="159" spans="3:4" ht="12.75">
      <c r="C159" s="65"/>
      <c r="D159" s="65"/>
    </row>
    <row r="160" spans="3:4" ht="12.75">
      <c r="C160" s="65"/>
      <c r="D160" s="65"/>
    </row>
    <row r="161" spans="3:4" ht="12.75">
      <c r="C161" s="65"/>
      <c r="D161" s="65"/>
    </row>
    <row r="162" spans="3:4" ht="12.75">
      <c r="C162" s="65"/>
      <c r="D162" s="65"/>
    </row>
    <row r="163" spans="3:4" ht="12.75">
      <c r="C163" s="65"/>
      <c r="D163" s="65"/>
    </row>
    <row r="164" spans="3:4" ht="12.75">
      <c r="C164" s="65"/>
      <c r="D164" s="65"/>
    </row>
    <row r="165" spans="3:4" ht="12.75">
      <c r="C165" s="65"/>
      <c r="D165" s="65"/>
    </row>
    <row r="166" spans="3:4" ht="12.75">
      <c r="C166" s="65"/>
      <c r="D166" s="65"/>
    </row>
    <row r="167" spans="3:4" ht="12.75">
      <c r="C167" s="65"/>
      <c r="D167" s="65"/>
    </row>
    <row r="168" spans="3:4" ht="12.75">
      <c r="C168" s="65"/>
      <c r="D168" s="65"/>
    </row>
    <row r="169" spans="3:4" ht="12.75">
      <c r="C169" s="65"/>
      <c r="D169" s="65"/>
    </row>
    <row r="170" spans="3:4" ht="12.75">
      <c r="C170" s="65"/>
      <c r="D170" s="65"/>
    </row>
    <row r="171" spans="3:4" ht="12.75">
      <c r="C171" s="65"/>
      <c r="D171" s="65"/>
    </row>
    <row r="172" spans="3:4" ht="12.75">
      <c r="C172" s="65"/>
      <c r="D172" s="65"/>
    </row>
    <row r="173" spans="3:4" ht="12.75">
      <c r="C173" s="65"/>
      <c r="D173" s="65"/>
    </row>
    <row r="174" spans="3:4" ht="12.75">
      <c r="C174" s="65"/>
      <c r="D174" s="65"/>
    </row>
    <row r="175" spans="3:4" ht="12.75">
      <c r="C175" s="65"/>
      <c r="D175" s="65"/>
    </row>
    <row r="176" spans="3:4" ht="12.75">
      <c r="C176" s="65"/>
      <c r="D176" s="65"/>
    </row>
    <row r="177" spans="3:4" ht="12.75">
      <c r="C177" s="65"/>
      <c r="D177" s="65"/>
    </row>
  </sheetData>
  <mergeCells count="8">
    <mergeCell ref="AK4:AK6"/>
    <mergeCell ref="AL4:AL6"/>
    <mergeCell ref="AM4:AM6"/>
    <mergeCell ref="AN4:AN6"/>
    <mergeCell ref="F4:F6"/>
    <mergeCell ref="G4:G6"/>
    <mergeCell ref="H4:H6"/>
    <mergeCell ref="I4:I6"/>
  </mergeCells>
  <printOptions/>
  <pageMargins left="0.75" right="0.75" top="1" bottom="1" header="0.4921259845" footer="0.4921259845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j_claessens</dc:creator>
  <cp:keywords/>
  <dc:description/>
  <cp:lastModifiedBy>I_Bruyere</cp:lastModifiedBy>
  <cp:lastPrinted>2003-03-24T13:03:39Z</cp:lastPrinted>
  <dcterms:created xsi:type="dcterms:W3CDTF">2002-03-19T08:19:43Z</dcterms:created>
  <dcterms:modified xsi:type="dcterms:W3CDTF">2003-03-24T13:04:40Z</dcterms:modified>
  <cp:category/>
  <cp:version/>
  <cp:contentType/>
  <cp:contentStatus/>
</cp:coreProperties>
</file>