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0800" windowHeight="1161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  <sheet name="Module1" sheetId="17" state="veryHidden" r:id="rId17"/>
    <sheet name="Module2" sheetId="18" state="veryHidden" r:id="rId18"/>
  </sheets>
  <definedNames>
    <definedName name="_xlnm.Print_Area" localSheetId="0">'Feuil1'!$A$1:$L$43</definedName>
  </definedNames>
  <calcPr fullCalcOnLoad="1"/>
</workbook>
</file>

<file path=xl/sharedStrings.xml><?xml version="1.0" encoding="utf-8"?>
<sst xmlns="http://schemas.openxmlformats.org/spreadsheetml/2006/main" count="108" uniqueCount="77">
  <si>
    <t>.............</t>
  </si>
  <si>
    <t xml:space="preserve">Rentabilité du remplacement des lampes </t>
  </si>
  <si>
    <t>Encodez votre propre situation dans les cases bleues</t>
  </si>
  <si>
    <t xml:space="preserve">Nom du projet </t>
  </si>
  <si>
    <t>Installation existante</t>
  </si>
  <si>
    <t>Future installation</t>
  </si>
  <si>
    <t>Type de lampe</t>
  </si>
  <si>
    <t>Incandescentes</t>
  </si>
  <si>
    <t>Nombres de lampes</t>
  </si>
  <si>
    <t>Puissance des lampes</t>
  </si>
  <si>
    <t>W</t>
  </si>
  <si>
    <t>Horaire de fonctionnement</t>
  </si>
  <si>
    <t>h/jour</t>
  </si>
  <si>
    <t>jour/an</t>
  </si>
  <si>
    <t>Coût du kWh</t>
  </si>
  <si>
    <t>(si vous ne connaissez pas le prix que vous payez par kWh, vous pouvez l'estimer grâce</t>
  </si>
  <si>
    <t>aux informations reprises dans la théorie "coût moyen du kWh électrique économisé")</t>
  </si>
  <si>
    <t>Durée de vie des lampes</t>
  </si>
  <si>
    <t>h</t>
  </si>
  <si>
    <t>Consommation</t>
  </si>
  <si>
    <t>kWh/an</t>
  </si>
  <si>
    <t>Coût énergétique</t>
  </si>
  <si>
    <t>Coût de remplacement des lampes usagées</t>
  </si>
  <si>
    <t>Coût annuel total</t>
  </si>
  <si>
    <t>Investissement</t>
  </si>
  <si>
    <t>(Dans le cadre d'un remplacement de toutes les lampes)</t>
  </si>
  <si>
    <t>Prix d'une lampe</t>
  </si>
  <si>
    <t>Coût de la main d'œuvre par lampe</t>
  </si>
  <si>
    <t>Investissement total</t>
  </si>
  <si>
    <t>Temps de retour</t>
  </si>
  <si>
    <t>ans</t>
  </si>
  <si>
    <t>puissance des lampes</t>
  </si>
  <si>
    <t>cellule</t>
  </si>
  <si>
    <t>inc</t>
  </si>
  <si>
    <t>fluocomp</t>
  </si>
  <si>
    <t>durée de vie des lampes</t>
  </si>
  <si>
    <t>incandescentes</t>
  </si>
  <si>
    <t>fluocompactes</t>
  </si>
  <si>
    <t>prix des lampes</t>
  </si>
  <si>
    <t>incandescent</t>
  </si>
  <si>
    <t>Fluocompacte</t>
  </si>
  <si>
    <t>valeur par défaut</t>
  </si>
  <si>
    <t>€/kWh</t>
  </si>
  <si>
    <t>€/an</t>
  </si>
  <si>
    <t>€/lampe</t>
  </si>
  <si>
    <t>€</t>
  </si>
  <si>
    <t>(prix net HTVA par défaut)</t>
  </si>
  <si>
    <t>5-7</t>
  </si>
  <si>
    <t>varient selon les fabricants.)</t>
  </si>
  <si>
    <t>(Les puissances mentionnées ci-dessus</t>
  </si>
  <si>
    <t>7-8</t>
  </si>
  <si>
    <t>9-12</t>
  </si>
  <si>
    <t>13-18</t>
  </si>
  <si>
    <t>18-23</t>
  </si>
  <si>
    <t>halogène</t>
  </si>
  <si>
    <t>18-20</t>
  </si>
  <si>
    <t>28-30</t>
  </si>
  <si>
    <t>42-46</t>
  </si>
  <si>
    <t>52-57</t>
  </si>
  <si>
    <t>70-77</t>
  </si>
  <si>
    <t>halogènes</t>
  </si>
  <si>
    <t>led</t>
  </si>
  <si>
    <t>4-5</t>
  </si>
  <si>
    <t>14-15</t>
  </si>
  <si>
    <t>Détail calcul consommation</t>
  </si>
  <si>
    <t>kWh/an min</t>
  </si>
  <si>
    <t>kWh/an max</t>
  </si>
  <si>
    <t>coût min</t>
  </si>
  <si>
    <t>coût max</t>
  </si>
  <si>
    <t>coût annuel min</t>
  </si>
  <si>
    <t>coût annuel max</t>
  </si>
  <si>
    <t>Halogène</t>
  </si>
  <si>
    <t>LED</t>
  </si>
  <si>
    <t xml:space="preserve">incandescentes </t>
  </si>
  <si>
    <t>Tps retour min</t>
  </si>
  <si>
    <t>Tps retour max</t>
  </si>
  <si>
    <t>Energie+ -Architecture et Climat-UCL-2013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</si>
</sst>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_-* #,##0.00\ [$€]_-;\-* #,##0.00\ [$€]_-;_-* &quot;-&quot;??\ [$€]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12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73" fontId="0" fillId="0" borderId="0" applyFon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" fontId="2" fillId="33" borderId="0" xfId="0" applyNumberFormat="1" applyFont="1" applyFill="1" applyAlignment="1">
      <alignment horizontal="center"/>
    </xf>
    <xf numFmtId="1" fontId="5" fillId="33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0" fontId="4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1" fontId="4" fillId="33" borderId="0" xfId="0" applyNumberFormat="1" applyFont="1" applyFill="1" applyAlignment="1" applyProtection="1">
      <alignment horizontal="center"/>
      <protection locked="0"/>
    </xf>
    <xf numFmtId="1" fontId="6" fillId="33" borderId="0" xfId="0" applyNumberFormat="1" applyFont="1" applyFill="1" applyAlignment="1">
      <alignment horizontal="center"/>
    </xf>
    <xf numFmtId="172" fontId="5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7" fillId="35" borderId="10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35" borderId="10" xfId="0" applyFont="1" applyFill="1" applyBorder="1" applyAlignment="1" applyProtection="1">
      <alignment horizontal="left"/>
      <protection locked="0"/>
    </xf>
    <xf numFmtId="0" fontId="4" fillId="35" borderId="11" xfId="0" applyFont="1" applyFill="1" applyBorder="1" applyAlignment="1" applyProtection="1">
      <alignment horizontal="left"/>
      <protection locked="0"/>
    </xf>
    <xf numFmtId="0" fontId="4" fillId="35" borderId="13" xfId="0" applyFont="1" applyFill="1" applyBorder="1" applyAlignment="1" applyProtection="1">
      <alignment horizontal="center"/>
      <protection locked="0"/>
    </xf>
    <xf numFmtId="0" fontId="4" fillId="35" borderId="13" xfId="0" applyFont="1" applyFill="1" applyBorder="1" applyAlignment="1" applyProtection="1">
      <alignment horizontal="center"/>
      <protection locked="0"/>
    </xf>
    <xf numFmtId="1" fontId="4" fillId="35" borderId="13" xfId="0" applyNumberFormat="1" applyFont="1" applyFill="1" applyBorder="1" applyAlignment="1" applyProtection="1">
      <alignment horizontal="center"/>
      <protection locked="0"/>
    </xf>
    <xf numFmtId="1" fontId="5" fillId="36" borderId="13" xfId="0" applyNumberFormat="1" applyFont="1" applyFill="1" applyBorder="1" applyAlignment="1">
      <alignment horizontal="center"/>
    </xf>
    <xf numFmtId="172" fontId="5" fillId="36" borderId="13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2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16" fontId="0" fillId="0" borderId="0" xfId="0" applyNumberFormat="1" applyFont="1" applyAlignment="1" quotePrefix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  <xf numFmtId="17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showRowColHeaders="0" tabSelected="1" showOutlineSymbols="0" zoomScalePageLayoutView="0" workbookViewId="0" topLeftCell="A4">
      <selection activeCell="B43" sqref="B43"/>
    </sheetView>
  </sheetViews>
  <sheetFormatPr defaultColWidth="11.421875" defaultRowHeight="12.75"/>
  <cols>
    <col min="4" max="4" width="16.28125" style="0" customWidth="1"/>
    <col min="5" max="5" width="2.7109375" style="0" customWidth="1"/>
    <col min="6" max="6" width="11.421875" style="1" customWidth="1"/>
    <col min="7" max="7" width="2.421875" style="1" customWidth="1"/>
    <col min="8" max="8" width="11.421875" style="1" customWidth="1"/>
    <col min="9" max="9" width="2.8515625" style="1" customWidth="1"/>
    <col min="10" max="10" width="11.421875" style="1" customWidth="1"/>
    <col min="11" max="11" width="5.7109375" style="0" customWidth="1"/>
    <col min="12" max="12" width="15.140625" style="0" customWidth="1"/>
  </cols>
  <sheetData>
    <row r="1" spans="1:5" ht="23.25">
      <c r="A1" s="39" t="s">
        <v>0</v>
      </c>
      <c r="E1" s="38" t="s">
        <v>1</v>
      </c>
    </row>
    <row r="2" ht="23.25">
      <c r="E2" s="38" t="s">
        <v>73</v>
      </c>
    </row>
    <row r="4" spans="2:13" ht="12.75">
      <c r="B4" s="19"/>
      <c r="C4" s="20"/>
      <c r="D4" s="21" t="s">
        <v>2</v>
      </c>
      <c r="E4" s="21"/>
      <c r="F4" s="21"/>
      <c r="G4" s="21"/>
      <c r="H4" s="20"/>
      <c r="I4" s="20"/>
      <c r="J4" s="20"/>
      <c r="K4" s="22"/>
      <c r="L4" s="23"/>
      <c r="M4" s="23"/>
    </row>
    <row r="5" spans="2:13" ht="12.75">
      <c r="B5" s="23"/>
      <c r="C5" s="23"/>
      <c r="D5" s="24"/>
      <c r="E5" s="24"/>
      <c r="F5" s="24"/>
      <c r="G5" s="24"/>
      <c r="H5" s="23"/>
      <c r="I5" s="23"/>
      <c r="J5" s="23"/>
      <c r="K5" s="23"/>
      <c r="L5" s="23"/>
      <c r="M5" s="23"/>
    </row>
    <row r="6" spans="2:17" ht="12.75">
      <c r="B6" s="25" t="s">
        <v>3</v>
      </c>
      <c r="C6" s="26"/>
      <c r="D6" s="27"/>
      <c r="E6" s="28"/>
      <c r="F6" s="28"/>
      <c r="G6" s="28"/>
      <c r="H6" s="20"/>
      <c r="I6" s="20"/>
      <c r="J6" s="20"/>
      <c r="K6" s="22"/>
      <c r="L6" s="23"/>
      <c r="M6" s="23"/>
      <c r="Q6" s="47"/>
    </row>
    <row r="8" spans="6:10" ht="12.75">
      <c r="F8" s="4" t="s">
        <v>4</v>
      </c>
      <c r="G8" s="4"/>
      <c r="J8" s="4" t="s">
        <v>5</v>
      </c>
    </row>
    <row r="10" spans="2:11" ht="14.25" customHeight="1">
      <c r="B10" t="s">
        <v>6</v>
      </c>
      <c r="E10" s="34"/>
      <c r="F10" s="35" t="s">
        <v>7</v>
      </c>
      <c r="G10" s="35"/>
      <c r="I10" s="36"/>
      <c r="J10" s="35"/>
      <c r="K10" s="34"/>
    </row>
    <row r="11" spans="5:11" ht="4.5" customHeight="1">
      <c r="E11" s="13"/>
      <c r="F11" s="13"/>
      <c r="G11" s="13"/>
      <c r="I11" s="13"/>
      <c r="J11" s="13"/>
      <c r="K11" s="13"/>
    </row>
    <row r="12" spans="2:11" ht="14.25" customHeight="1">
      <c r="B12" t="s">
        <v>8</v>
      </c>
      <c r="E12" s="13"/>
      <c r="F12" s="29">
        <v>1</v>
      </c>
      <c r="G12" s="13"/>
      <c r="I12" s="13"/>
      <c r="J12" s="8">
        <v>1</v>
      </c>
      <c r="K12" s="13"/>
    </row>
    <row r="13" spans="5:11" ht="3.75" customHeight="1">
      <c r="E13" s="13"/>
      <c r="F13" s="13"/>
      <c r="G13" s="13"/>
      <c r="I13" s="13"/>
      <c r="J13" s="8"/>
      <c r="K13" s="13"/>
    </row>
    <row r="14" spans="2:11" ht="13.5" customHeight="1">
      <c r="B14" t="s">
        <v>9</v>
      </c>
      <c r="E14" s="13"/>
      <c r="F14" s="6"/>
      <c r="G14" s="6"/>
      <c r="H14" s="12" t="s">
        <v>10</v>
      </c>
      <c r="I14" s="13"/>
      <c r="J14" s="8" t="str">
        <f>IF(Feuil2!C55=1,INDEX(Feuil2!B4:B8,Feuil2!E3,1),IF(Feuil2!C55=2,INDEX(Feuil2!C4:C8,Feuil2!E3,1),IF(Feuil2!C55=3,INDEX(Feuil2!D4:D8,Feuil2!E3,1),"")))</f>
        <v>9-12</v>
      </c>
      <c r="K14" s="13"/>
    </row>
    <row r="15" spans="5:11" ht="14.25" customHeight="1">
      <c r="E15" s="13"/>
      <c r="F15" s="6"/>
      <c r="G15" s="6"/>
      <c r="H15" s="12"/>
      <c r="I15" s="13"/>
      <c r="J15" s="62" t="s">
        <v>49</v>
      </c>
      <c r="K15" s="13"/>
    </row>
    <row r="16" spans="5:11" ht="11.25" customHeight="1">
      <c r="E16" s="13"/>
      <c r="F16" s="6"/>
      <c r="G16" s="6"/>
      <c r="H16" s="12"/>
      <c r="I16" s="13"/>
      <c r="J16" s="62" t="s">
        <v>48</v>
      </c>
      <c r="K16" s="13"/>
    </row>
    <row r="17" spans="2:11" ht="12.75">
      <c r="B17" t="s">
        <v>11</v>
      </c>
      <c r="E17" s="13"/>
      <c r="F17" s="29">
        <v>10</v>
      </c>
      <c r="G17" s="13"/>
      <c r="H17" s="1" t="s">
        <v>12</v>
      </c>
      <c r="I17" s="13"/>
      <c r="J17" s="8">
        <f>F17</f>
        <v>10</v>
      </c>
      <c r="K17" s="13"/>
    </row>
    <row r="18" spans="5:11" ht="12.75">
      <c r="E18" s="13"/>
      <c r="F18" s="29">
        <v>250</v>
      </c>
      <c r="G18" s="13"/>
      <c r="H18" s="1" t="s">
        <v>13</v>
      </c>
      <c r="I18" s="13"/>
      <c r="J18" s="8">
        <f>F18</f>
        <v>250</v>
      </c>
      <c r="K18" s="13"/>
    </row>
    <row r="19" spans="5:11" ht="12.75">
      <c r="E19" s="13"/>
      <c r="F19" s="40"/>
      <c r="G19" s="13"/>
      <c r="I19" s="13"/>
      <c r="J19" s="8"/>
      <c r="K19" s="13"/>
    </row>
    <row r="20" spans="2:11" ht="12.75">
      <c r="B20" t="s">
        <v>14</v>
      </c>
      <c r="E20" s="13"/>
      <c r="F20" s="30">
        <v>0.13</v>
      </c>
      <c r="G20" s="14"/>
      <c r="H20" s="1" t="s">
        <v>42</v>
      </c>
      <c r="I20" s="13"/>
      <c r="J20" s="8">
        <f>F20</f>
        <v>0.13</v>
      </c>
      <c r="K20" s="13"/>
    </row>
    <row r="21" spans="5:11" ht="4.5" customHeight="1">
      <c r="E21" s="13"/>
      <c r="F21" s="42"/>
      <c r="G21" s="14"/>
      <c r="I21" s="13"/>
      <c r="J21" s="8"/>
      <c r="K21" s="13"/>
    </row>
    <row r="22" spans="5:11" ht="16.5" customHeight="1">
      <c r="E22" s="43"/>
      <c r="F22" s="48" t="s">
        <v>15</v>
      </c>
      <c r="G22" s="45"/>
      <c r="H22" s="46"/>
      <c r="I22" s="43"/>
      <c r="J22" s="47"/>
      <c r="K22" s="43"/>
    </row>
    <row r="23" spans="5:11" ht="12.75">
      <c r="E23" s="43"/>
      <c r="F23" s="48" t="s">
        <v>16</v>
      </c>
      <c r="G23" s="45"/>
      <c r="H23" s="46"/>
      <c r="I23" s="43"/>
      <c r="J23" s="47"/>
      <c r="K23" s="43"/>
    </row>
    <row r="24" spans="5:11" ht="6" customHeight="1">
      <c r="E24" s="43"/>
      <c r="F24" s="44"/>
      <c r="G24" s="45"/>
      <c r="H24" s="46"/>
      <c r="I24" s="43"/>
      <c r="J24" s="47"/>
      <c r="K24" s="43"/>
    </row>
    <row r="25" spans="2:11" ht="15" customHeight="1">
      <c r="B25" t="s">
        <v>17</v>
      </c>
      <c r="E25" s="13"/>
      <c r="F25" s="41">
        <v>1000</v>
      </c>
      <c r="G25" s="9"/>
      <c r="H25" s="12" t="s">
        <v>18</v>
      </c>
      <c r="I25" s="13"/>
      <c r="J25" s="41">
        <f>IF(Feuil2!C55=1,Feuil2!E13,IF(Feuil2!C55=2,Feuil2!E14,IF(Feuil2!C55=3,Feuil2!E15,"")))</f>
        <v>15000</v>
      </c>
      <c r="K25" s="13"/>
    </row>
    <row r="26" spans="5:11" ht="3.75" customHeight="1">
      <c r="E26" s="13"/>
      <c r="F26" s="7"/>
      <c r="G26" s="7"/>
      <c r="I26" s="13"/>
      <c r="J26" s="7"/>
      <c r="K26" s="13"/>
    </row>
    <row r="27" spans="2:11" ht="12.75">
      <c r="B27" t="s">
        <v>19</v>
      </c>
      <c r="E27" s="13"/>
      <c r="F27" s="10">
        <f>INDEX(Feuil2!A4:A8,Feuil2!E3,1)*Feuil1!F17*Feuil1!F18/1000*F12</f>
        <v>150</v>
      </c>
      <c r="G27" s="10"/>
      <c r="H27" s="12" t="s">
        <v>20</v>
      </c>
      <c r="I27" s="13"/>
      <c r="J27" s="10" t="str">
        <f>IF(Feuil2!E3=1,Feuil2!N64,IF(Feuil2!E3=2,Feuil2!N65,IF(Feuil2!E3=3,Feuil2!N66,IF(Feuil2!E3=4,Feuil2!N67,Feuil2!N68))))</f>
        <v>25-33</v>
      </c>
      <c r="K27" s="13"/>
    </row>
    <row r="28" spans="2:11" ht="12.75">
      <c r="B28" t="s">
        <v>21</v>
      </c>
      <c r="E28" s="13"/>
      <c r="F28" s="10">
        <f>F27*F20</f>
        <v>19.5</v>
      </c>
      <c r="G28" s="10"/>
      <c r="H28" s="12" t="s">
        <v>43</v>
      </c>
      <c r="I28" s="13"/>
      <c r="J28" s="10" t="str">
        <f>IF(Feuil2!E3=1,Feuil2!Q64,IF(Feuil2!E3=2,Feuil2!Q65,IF(Feuil2!E3=3,Feuil2!Q66,IF(Feuil2!E3=4,Feuil2!Q67,Feuil2!Q68))))</f>
        <v>3-4</v>
      </c>
      <c r="K28" s="13"/>
    </row>
    <row r="29" spans="2:11" ht="12.75">
      <c r="B29" t="s">
        <v>22</v>
      </c>
      <c r="E29" s="13"/>
      <c r="F29" s="10">
        <f>INDEX(Feuil2!E20:E24,Feuil2!E3,1)*Feuil1!F17*Feuil1!F18/Feuil1!F25*Feuil1!F12</f>
        <v>2.1450000000000005</v>
      </c>
      <c r="G29" s="10"/>
      <c r="H29" s="12" t="s">
        <v>43</v>
      </c>
      <c r="I29" s="13"/>
      <c r="J29" s="10">
        <f>Feuil1!F17*Feuil1!F18/J25*Feuil1!F12*IF(Feuil2!C55=1,INDEX(Feuil2!E27:E31,Feuil2!E3,1),IF(Feuil2!C55=2,INDEX(Feuil2!E34:E38,Feuil2!E3,1),IF(Feuil2!C55=3,INDEX(Feuil2!E41:E45,Feuil2!E3,1),"")))</f>
        <v>1.313</v>
      </c>
      <c r="K29" s="13"/>
    </row>
    <row r="30" spans="5:11" ht="12.75">
      <c r="E30" s="13"/>
      <c r="F30" s="10"/>
      <c r="G30" s="10"/>
      <c r="H30" s="12"/>
      <c r="I30" s="13"/>
      <c r="J30" s="10"/>
      <c r="K30" s="13"/>
    </row>
    <row r="31" spans="2:11" ht="12.75" customHeight="1">
      <c r="B31" t="s">
        <v>23</v>
      </c>
      <c r="E31" s="13"/>
      <c r="F31" s="32">
        <f>F28+F29</f>
        <v>21.645</v>
      </c>
      <c r="G31" s="11"/>
      <c r="H31" s="12" t="s">
        <v>43</v>
      </c>
      <c r="I31" s="13"/>
      <c r="J31" s="32" t="str">
        <f>IF(Feuil2!E3=1,Feuil2!T64,IF(Feuil2!E3=2,Feuil2!T65,IF(Feuil2!E3=3,Feuil2!T66,IF(Feuil2!E3=4,Feuil2!T67,Feuil2!T68))))</f>
        <v>4-5</v>
      </c>
      <c r="K31" s="13"/>
    </row>
    <row r="32" spans="5:11" ht="4.5" customHeight="1">
      <c r="E32" s="13"/>
      <c r="F32" s="13"/>
      <c r="G32" s="13"/>
      <c r="I32" s="13"/>
      <c r="J32" s="13"/>
      <c r="K32" s="13"/>
    </row>
    <row r="33" spans="2:10" ht="12.75">
      <c r="B33" s="5" t="s">
        <v>24</v>
      </c>
      <c r="F33" s="2"/>
      <c r="G33" s="2"/>
      <c r="J33" s="2"/>
    </row>
    <row r="34" spans="2:10" ht="12.75">
      <c r="B34" t="s">
        <v>25</v>
      </c>
      <c r="F34" s="2"/>
      <c r="G34" s="10"/>
      <c r="H34" s="10"/>
      <c r="I34" s="10"/>
      <c r="J34" s="2"/>
    </row>
    <row r="35" spans="2:12" ht="12.75">
      <c r="B35" t="s">
        <v>26</v>
      </c>
      <c r="F35" s="2"/>
      <c r="G35" s="13"/>
      <c r="H35" s="31">
        <v>7.88</v>
      </c>
      <c r="I35" s="15"/>
      <c r="J35" s="18" t="s">
        <v>44</v>
      </c>
      <c r="K35" s="53">
        <f>IF(Feuil2!C55=1,Feuil2!E29,IF(Feuil2!C55=2,Feuil2!E37,Feuil2!E43))</f>
        <v>7.878</v>
      </c>
      <c r="L35" t="s">
        <v>46</v>
      </c>
    </row>
    <row r="36" spans="6:11" ht="3.75" customHeight="1">
      <c r="F36" s="2"/>
      <c r="G36" s="13"/>
      <c r="H36" s="15"/>
      <c r="I36" s="15"/>
      <c r="J36" s="18"/>
      <c r="K36" s="53"/>
    </row>
    <row r="37" spans="2:12" ht="12.75">
      <c r="B37" t="s">
        <v>27</v>
      </c>
      <c r="F37" s="2"/>
      <c r="G37" s="13"/>
      <c r="H37" s="31">
        <v>1.25</v>
      </c>
      <c r="I37" s="15"/>
      <c r="J37" s="18" t="s">
        <v>44</v>
      </c>
      <c r="K37" s="53">
        <f>Feuil2!A50</f>
        <v>1.25</v>
      </c>
      <c r="L37" t="s">
        <v>46</v>
      </c>
    </row>
    <row r="38" spans="2:10" ht="16.5" customHeight="1">
      <c r="B38" t="s">
        <v>28</v>
      </c>
      <c r="F38" s="2"/>
      <c r="G38" s="13"/>
      <c r="H38" s="16">
        <f>(F12*H35)+H37</f>
        <v>9.129999999999999</v>
      </c>
      <c r="I38" s="16"/>
      <c r="J38" s="18" t="s">
        <v>45</v>
      </c>
    </row>
    <row r="39" spans="6:10" ht="3.75" customHeight="1">
      <c r="F39" s="2"/>
      <c r="G39" s="13"/>
      <c r="H39" s="16"/>
      <c r="I39" s="16"/>
      <c r="J39" s="18"/>
    </row>
    <row r="40" spans="2:10" ht="14.25" customHeight="1">
      <c r="B40" s="5" t="s">
        <v>29</v>
      </c>
      <c r="F40" s="2"/>
      <c r="G40" s="13"/>
      <c r="H40" s="33" t="str">
        <f>IF(Feuil2!E3=1,Feuil2!W64,IF(Feuil2!E3=2,Feuil2!W65,IF(Feuil2!E3=3,Feuil2!W66,IF(Feuil2!E3=4,Feuil2!W67,Feuil2!W68))))</f>
        <v>0,5</v>
      </c>
      <c r="I40" s="17"/>
      <c r="J40" s="18" t="s">
        <v>30</v>
      </c>
    </row>
    <row r="41" spans="7:9" ht="6" customHeight="1">
      <c r="G41" s="10"/>
      <c r="H41" s="10"/>
      <c r="I41" s="10"/>
    </row>
    <row r="43" spans="2:7" ht="12.75">
      <c r="B43" t="s">
        <v>76</v>
      </c>
      <c r="C43" s="49"/>
      <c r="D43" s="50"/>
      <c r="E43" s="37"/>
      <c r="F43"/>
      <c r="G43" s="51"/>
    </row>
    <row r="44" spans="3:7" ht="12.75">
      <c r="C44" s="51"/>
      <c r="F44"/>
      <c r="G44" s="51"/>
    </row>
    <row r="45" ht="12.75">
      <c r="E45" s="37"/>
    </row>
  </sheetData>
  <sheetProtection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6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76"/>
  <sheetViews>
    <sheetView zoomScalePageLayoutView="0" workbookViewId="0" topLeftCell="A1">
      <selection activeCell="F31" sqref="F31"/>
    </sheetView>
  </sheetViews>
  <sheetFormatPr defaultColWidth="11.421875" defaultRowHeight="12.75"/>
  <sheetData>
    <row r="2" spans="1:5" ht="12.75">
      <c r="A2" t="s">
        <v>31</v>
      </c>
      <c r="E2" t="s">
        <v>32</v>
      </c>
    </row>
    <row r="3" spans="1:5" ht="12.75">
      <c r="A3" t="s">
        <v>33</v>
      </c>
      <c r="B3" t="s">
        <v>34</v>
      </c>
      <c r="C3" s="56" t="s">
        <v>54</v>
      </c>
      <c r="D3" s="56" t="s">
        <v>61</v>
      </c>
      <c r="E3">
        <v>3</v>
      </c>
    </row>
    <row r="4" spans="1:4" ht="12.75">
      <c r="A4">
        <v>25</v>
      </c>
      <c r="B4" s="54" t="s">
        <v>47</v>
      </c>
      <c r="C4" s="55" t="s">
        <v>55</v>
      </c>
      <c r="D4" s="58" t="s">
        <v>62</v>
      </c>
    </row>
    <row r="5" spans="1:4" ht="12.75">
      <c r="A5">
        <v>40</v>
      </c>
      <c r="B5" s="55" t="s">
        <v>50</v>
      </c>
      <c r="C5" s="55" t="s">
        <v>56</v>
      </c>
      <c r="D5" s="55" t="s">
        <v>50</v>
      </c>
    </row>
    <row r="6" spans="1:4" ht="12.75">
      <c r="A6">
        <v>60</v>
      </c>
      <c r="B6" s="55" t="s">
        <v>51</v>
      </c>
      <c r="C6" s="55" t="s">
        <v>57</v>
      </c>
      <c r="D6" s="55">
        <v>12</v>
      </c>
    </row>
    <row r="7" spans="1:4" ht="12.75">
      <c r="A7">
        <v>75</v>
      </c>
      <c r="B7" s="55" t="s">
        <v>52</v>
      </c>
      <c r="C7" s="55" t="s">
        <v>58</v>
      </c>
      <c r="D7" s="55" t="s">
        <v>63</v>
      </c>
    </row>
    <row r="8" spans="1:4" ht="12.75">
      <c r="A8">
        <v>100</v>
      </c>
      <c r="B8" s="55" t="s">
        <v>53</v>
      </c>
      <c r="C8" s="55" t="s">
        <v>59</v>
      </c>
      <c r="D8" s="55">
        <v>20</v>
      </c>
    </row>
    <row r="10" ht="12.75">
      <c r="A10" t="s">
        <v>35</v>
      </c>
    </row>
    <row r="12" spans="1:5" ht="12.75">
      <c r="A12" t="s">
        <v>36</v>
      </c>
      <c r="E12">
        <v>1000</v>
      </c>
    </row>
    <row r="13" spans="1:5" ht="12.75">
      <c r="A13" t="s">
        <v>37</v>
      </c>
      <c r="E13">
        <v>15000</v>
      </c>
    </row>
    <row r="14" spans="1:5" ht="12.75">
      <c r="A14" s="56" t="s">
        <v>54</v>
      </c>
      <c r="E14">
        <v>2000</v>
      </c>
    </row>
    <row r="15" spans="1:5" ht="12.75">
      <c r="A15" s="56" t="s">
        <v>61</v>
      </c>
      <c r="E15">
        <v>35000</v>
      </c>
    </row>
    <row r="17" ht="12.75">
      <c r="A17" t="s">
        <v>38</v>
      </c>
    </row>
    <row r="19" spans="1:5" ht="12.75">
      <c r="A19" t="s">
        <v>39</v>
      </c>
      <c r="E19" s="3">
        <v>-0.35</v>
      </c>
    </row>
    <row r="20" spans="1:13" ht="12.75">
      <c r="A20">
        <v>25</v>
      </c>
      <c r="B20">
        <v>1.18</v>
      </c>
      <c r="E20" s="53">
        <f>B20*0.65</f>
        <v>0.767</v>
      </c>
      <c r="M20" s="52"/>
    </row>
    <row r="21" spans="1:13" ht="12.75">
      <c r="A21">
        <v>40</v>
      </c>
      <c r="B21">
        <v>1.18</v>
      </c>
      <c r="E21" s="53">
        <f>B21*0.65</f>
        <v>0.767</v>
      </c>
      <c r="M21" s="52"/>
    </row>
    <row r="22" spans="1:13" ht="12.75">
      <c r="A22">
        <v>60</v>
      </c>
      <c r="B22">
        <v>1.32</v>
      </c>
      <c r="E22" s="53">
        <f>B22*0.65</f>
        <v>0.8580000000000001</v>
      </c>
      <c r="M22" s="52"/>
    </row>
    <row r="23" spans="1:13" ht="12.75">
      <c r="A23">
        <v>75</v>
      </c>
      <c r="B23">
        <v>1.68</v>
      </c>
      <c r="E23" s="53">
        <f>B23*0.65</f>
        <v>1.092</v>
      </c>
      <c r="M23" s="52"/>
    </row>
    <row r="24" spans="1:13" ht="12.75">
      <c r="A24">
        <v>100</v>
      </c>
      <c r="B24">
        <v>1.68</v>
      </c>
      <c r="E24" s="53">
        <f>B24*0.65</f>
        <v>1.092</v>
      </c>
      <c r="M24" s="52"/>
    </row>
    <row r="25" spans="5:13" ht="12.75">
      <c r="E25" s="53"/>
      <c r="M25" s="52"/>
    </row>
    <row r="26" spans="1:13" ht="12.75">
      <c r="A26" t="s">
        <v>40</v>
      </c>
      <c r="E26" s="53"/>
      <c r="M26" s="52"/>
    </row>
    <row r="27" spans="1:13" ht="12.75">
      <c r="A27" s="66" t="s">
        <v>47</v>
      </c>
      <c r="B27">
        <v>12.15</v>
      </c>
      <c r="E27" s="53">
        <f>B27*0.65</f>
        <v>7.897500000000001</v>
      </c>
      <c r="M27" s="52"/>
    </row>
    <row r="28" spans="1:13" ht="12.75">
      <c r="A28" s="65" t="s">
        <v>50</v>
      </c>
      <c r="B28">
        <v>11.63</v>
      </c>
      <c r="E28" s="53">
        <f>B28*0.65</f>
        <v>7.559500000000001</v>
      </c>
      <c r="M28" s="52"/>
    </row>
    <row r="29" spans="1:13" ht="12.75">
      <c r="A29" s="65" t="s">
        <v>51</v>
      </c>
      <c r="B29">
        <v>12.12</v>
      </c>
      <c r="E29" s="53">
        <f>B29*0.65</f>
        <v>7.878</v>
      </c>
      <c r="M29" s="52"/>
    </row>
    <row r="30" spans="1:5" ht="12.75">
      <c r="A30" s="65" t="s">
        <v>52</v>
      </c>
      <c r="B30">
        <v>12.12</v>
      </c>
      <c r="E30" s="53">
        <f>B30*0.65</f>
        <v>7.878</v>
      </c>
    </row>
    <row r="31" spans="1:5" ht="12.75">
      <c r="A31" s="65" t="s">
        <v>53</v>
      </c>
      <c r="B31">
        <v>12.12</v>
      </c>
      <c r="E31" s="53">
        <f>B31*0.65</f>
        <v>7.878</v>
      </c>
    </row>
    <row r="32" ht="12.75">
      <c r="E32" s="53"/>
    </row>
    <row r="33" spans="1:5" ht="12.75">
      <c r="A33" s="56" t="s">
        <v>71</v>
      </c>
      <c r="E33" s="53"/>
    </row>
    <row r="34" spans="1:5" ht="12.75">
      <c r="A34" s="63" t="s">
        <v>55</v>
      </c>
      <c r="B34">
        <v>4.89</v>
      </c>
      <c r="E34" s="53">
        <f>B34*0.65</f>
        <v>3.1785</v>
      </c>
    </row>
    <row r="35" spans="1:5" ht="12.75">
      <c r="A35" s="63" t="s">
        <v>56</v>
      </c>
      <c r="B35">
        <v>4.89</v>
      </c>
      <c r="E35" s="53">
        <f>B35*0.65</f>
        <v>3.1785</v>
      </c>
    </row>
    <row r="36" spans="1:5" ht="12.75">
      <c r="A36" s="63" t="s">
        <v>57</v>
      </c>
      <c r="B36">
        <v>4.89</v>
      </c>
      <c r="E36" s="53">
        <f>B36*0.65</f>
        <v>3.1785</v>
      </c>
    </row>
    <row r="37" spans="1:5" ht="12.75">
      <c r="A37" s="63" t="s">
        <v>58</v>
      </c>
      <c r="B37">
        <v>4.89</v>
      </c>
      <c r="E37" s="53">
        <f>B37*0.65</f>
        <v>3.1785</v>
      </c>
    </row>
    <row r="38" spans="1:5" ht="12.75">
      <c r="A38" s="63" t="s">
        <v>59</v>
      </c>
      <c r="B38">
        <v>5.64</v>
      </c>
      <c r="E38" s="53">
        <f>B38*0.65</f>
        <v>3.666</v>
      </c>
    </row>
    <row r="39" spans="1:5" ht="12.75">
      <c r="A39" s="56"/>
      <c r="E39" s="53"/>
    </row>
    <row r="40" spans="1:5" ht="12.75">
      <c r="A40" s="56" t="s">
        <v>72</v>
      </c>
      <c r="E40" s="53"/>
    </row>
    <row r="41" spans="1:5" ht="12.75">
      <c r="A41" s="64" t="s">
        <v>62</v>
      </c>
      <c r="B41">
        <v>44</v>
      </c>
      <c r="E41" s="53">
        <f>B41*0.65</f>
        <v>28.6</v>
      </c>
    </row>
    <row r="42" spans="1:5" ht="12.75">
      <c r="A42" s="64" t="s">
        <v>50</v>
      </c>
      <c r="B42">
        <v>66</v>
      </c>
      <c r="E42" s="53">
        <f>B42*0.65</f>
        <v>42.9</v>
      </c>
    </row>
    <row r="43" spans="1:5" ht="12.75">
      <c r="A43" s="63">
        <v>12</v>
      </c>
      <c r="B43">
        <v>84</v>
      </c>
      <c r="E43" s="53">
        <f>B43*0.65</f>
        <v>54.6</v>
      </c>
    </row>
    <row r="44" spans="1:5" ht="12.75">
      <c r="A44" s="65" t="s">
        <v>63</v>
      </c>
      <c r="B44">
        <v>99</v>
      </c>
      <c r="E44" s="53">
        <f>B44*0.65</f>
        <v>64.35000000000001</v>
      </c>
    </row>
    <row r="45" spans="1:5" ht="12.75">
      <c r="A45" s="63">
        <v>20</v>
      </c>
      <c r="B45">
        <v>119</v>
      </c>
      <c r="E45" s="53">
        <f>B45*0.65</f>
        <v>77.35000000000001</v>
      </c>
    </row>
    <row r="46" spans="1:5" ht="12.75">
      <c r="A46" s="56"/>
      <c r="E46" s="53"/>
    </row>
    <row r="48" ht="12.75">
      <c r="A48" t="s">
        <v>41</v>
      </c>
    </row>
    <row r="49" ht="12.75">
      <c r="A49">
        <f>INDEX(Feuil2!E27:E31,Feuil2!E3,1)</f>
        <v>7.878</v>
      </c>
    </row>
    <row r="50" ht="12.75">
      <c r="A50">
        <v>1.25</v>
      </c>
    </row>
    <row r="54" ht="12.75">
      <c r="C54" s="56" t="s">
        <v>32</v>
      </c>
    </row>
    <row r="55" spans="1:3" ht="12.75">
      <c r="A55" s="57" t="s">
        <v>37</v>
      </c>
      <c r="C55">
        <v>1</v>
      </c>
    </row>
    <row r="56" ht="12.75">
      <c r="A56" s="57" t="s">
        <v>60</v>
      </c>
    </row>
    <row r="57" ht="12.75">
      <c r="A57" s="57" t="s">
        <v>61</v>
      </c>
    </row>
    <row r="61" ht="12.75">
      <c r="A61" s="56" t="s">
        <v>64</v>
      </c>
    </row>
    <row r="63" spans="1:22" ht="12.75">
      <c r="A63" s="56" t="s">
        <v>33</v>
      </c>
      <c r="B63" s="68" t="s">
        <v>34</v>
      </c>
      <c r="C63" s="69"/>
      <c r="D63" s="68" t="s">
        <v>54</v>
      </c>
      <c r="E63" s="69"/>
      <c r="F63" s="68" t="s">
        <v>61</v>
      </c>
      <c r="G63" s="69"/>
      <c r="H63" s="56" t="s">
        <v>65</v>
      </c>
      <c r="I63" s="56" t="s">
        <v>66</v>
      </c>
      <c r="J63" s="56" t="s">
        <v>67</v>
      </c>
      <c r="K63" s="56" t="s">
        <v>68</v>
      </c>
      <c r="L63" s="56" t="s">
        <v>65</v>
      </c>
      <c r="M63" s="56" t="s">
        <v>66</v>
      </c>
      <c r="O63" s="56" t="s">
        <v>67</v>
      </c>
      <c r="P63" s="56" t="s">
        <v>68</v>
      </c>
      <c r="R63" s="56" t="s">
        <v>69</v>
      </c>
      <c r="S63" s="56" t="s">
        <v>70</v>
      </c>
      <c r="U63" s="56" t="s">
        <v>74</v>
      </c>
      <c r="V63" s="56" t="s">
        <v>75</v>
      </c>
    </row>
    <row r="64" spans="1:23" ht="12.75">
      <c r="A64">
        <v>25</v>
      </c>
      <c r="B64" s="59">
        <v>5</v>
      </c>
      <c r="C64" s="60">
        <v>7</v>
      </c>
      <c r="D64" s="60">
        <v>18</v>
      </c>
      <c r="E64" s="60">
        <v>20</v>
      </c>
      <c r="F64" s="60">
        <v>4</v>
      </c>
      <c r="G64" s="60">
        <v>5</v>
      </c>
      <c r="H64" s="61">
        <f>Feuil1!$F$12*Feuil1!$F$17*Feuil1!$F$18/1000*1.1*(IF($C$55=1,B64,IF($C$55=2,D64,F64)))</f>
        <v>13.75</v>
      </c>
      <c r="I64" s="61">
        <f>Feuil1!$F$12*Feuil1!$F$17*Feuil1!$F$18/1000*1.1*(IF($C$55=1,C64,IF($C$55=2,E64,G64)))</f>
        <v>19.25</v>
      </c>
      <c r="J64" s="61">
        <f>H64*Feuil1!$F$20</f>
        <v>1.7875</v>
      </c>
      <c r="K64" s="61">
        <f>I64*Feuil1!$F$20</f>
        <v>2.5025</v>
      </c>
      <c r="L64" t="str">
        <f aca="true" t="shared" si="0" ref="L64:M68">TEXT(H64,"0")</f>
        <v>14</v>
      </c>
      <c r="M64" t="str">
        <f t="shared" si="0"/>
        <v>19</v>
      </c>
      <c r="N64" t="str">
        <f>IF(L64&lt;&gt;M64,CONCATENATE(L64,"-",M64),L64)</f>
        <v>14-19</v>
      </c>
      <c r="O64" t="str">
        <f aca="true" t="shared" si="1" ref="O64:P68">TEXT(J64,"0")</f>
        <v>2</v>
      </c>
      <c r="P64" t="str">
        <f t="shared" si="1"/>
        <v>3</v>
      </c>
      <c r="Q64" t="str">
        <f>IF(O64&lt;&gt;P64,CONCATENATE(O64,"-",P64),O64)</f>
        <v>2-3</v>
      </c>
      <c r="R64" s="61" t="str">
        <f>TEXT(O64+Feuil1!$J$29,"0")</f>
        <v>3</v>
      </c>
      <c r="S64" s="61" t="str">
        <f>TEXT(P64+Feuil1!$J$29,"0")</f>
        <v>4</v>
      </c>
      <c r="T64" t="str">
        <f>IF(R64&lt;&gt;S64,CONCATENATE(R64,"-",S64),R64)</f>
        <v>3-4</v>
      </c>
      <c r="U64" s="67">
        <f>Feuil1!$H$38/(Feuil1!$F$31-R64)</f>
        <v>0.48967551622418876</v>
      </c>
      <c r="V64" s="67">
        <f>Feuil1!$H$38/(Feuil1!$F$31-S64)</f>
        <v>0.517427033153868</v>
      </c>
      <c r="W64" s="67" t="str">
        <f>IF(TEXT(U64,"0,0")&lt;&gt;TEXT(V64,"0,0"),CONCATENATE(TEXT(U64,"0,0"),"-",TEXT(V64,"0,0")),TEXT(U64,"0,0"))</f>
        <v>0,5</v>
      </c>
    </row>
    <row r="65" spans="1:23" ht="12.75">
      <c r="A65">
        <v>40</v>
      </c>
      <c r="B65">
        <v>7</v>
      </c>
      <c r="C65">
        <v>8</v>
      </c>
      <c r="D65">
        <v>28</v>
      </c>
      <c r="E65">
        <v>30</v>
      </c>
      <c r="F65">
        <v>7</v>
      </c>
      <c r="G65">
        <v>8</v>
      </c>
      <c r="H65" s="61">
        <f>Feuil1!$F$12*Feuil1!$F$17*Feuil1!$F$18/1000*1.1*(IF($C$55=1,B65,IF($C$55=2,D65,F65)))</f>
        <v>19.25</v>
      </c>
      <c r="I65" s="61">
        <f>Feuil1!$F$12*Feuil1!$F$17*Feuil1!$F$18/1000*1.1*(IF($C$55=1,C65,IF($C$55=2,E65,G65)))</f>
        <v>22</v>
      </c>
      <c r="J65" s="61">
        <f>H65*Feuil1!$F$20</f>
        <v>2.5025</v>
      </c>
      <c r="K65" s="61">
        <f>I65*Feuil1!$F$20</f>
        <v>2.8600000000000003</v>
      </c>
      <c r="L65" t="str">
        <f t="shared" si="0"/>
        <v>19</v>
      </c>
      <c r="M65" t="str">
        <f t="shared" si="0"/>
        <v>22</v>
      </c>
      <c r="N65" t="str">
        <f>IF(L65&lt;&gt;M65,CONCATENATE(L65,"-",M65),L65)</f>
        <v>19-22</v>
      </c>
      <c r="O65" t="str">
        <f t="shared" si="1"/>
        <v>3</v>
      </c>
      <c r="P65" t="str">
        <f t="shared" si="1"/>
        <v>3</v>
      </c>
      <c r="Q65" t="str">
        <f>IF(O65&lt;&gt;P65,CONCATENATE(O65,"-",P65),O65)</f>
        <v>3</v>
      </c>
      <c r="R65" s="61" t="str">
        <f>TEXT(O65+Feuil1!$J$29,"0")</f>
        <v>4</v>
      </c>
      <c r="S65" s="61" t="str">
        <f>TEXT(P65+Feuil1!$J$29,"0")</f>
        <v>4</v>
      </c>
      <c r="T65" t="str">
        <f>IF(R65&lt;&gt;S65,CONCATENATE(R65,"-",S65),R65)</f>
        <v>4</v>
      </c>
      <c r="U65" s="67">
        <f>Feuil1!$H$38/(Feuil1!$F$31-R65)</f>
        <v>0.517427033153868</v>
      </c>
      <c r="V65" s="67">
        <f>Feuil1!$H$38/(Feuil1!$F$31-S65)</f>
        <v>0.517427033153868</v>
      </c>
      <c r="W65" s="67" t="str">
        <f>IF(TEXT(U65,"0,0")&lt;&gt;TEXT(V65,"0,0"),CONCATENATE(TEXT(U65,"0,0"),"-",TEXT(V65,"0,0")),TEXT(U65,"0,0"))</f>
        <v>0,5</v>
      </c>
    </row>
    <row r="66" spans="1:23" ht="12.75">
      <c r="A66">
        <v>60</v>
      </c>
      <c r="B66">
        <v>9</v>
      </c>
      <c r="C66">
        <v>12</v>
      </c>
      <c r="D66">
        <v>42</v>
      </c>
      <c r="E66">
        <v>46</v>
      </c>
      <c r="F66">
        <v>12</v>
      </c>
      <c r="G66">
        <v>12</v>
      </c>
      <c r="H66" s="61">
        <f>Feuil1!$F$12*Feuil1!$F$17*Feuil1!$F$18/1000*1.1*(IF($C$55=1,B66,IF($C$55=2,D66,F66)))</f>
        <v>24.75</v>
      </c>
      <c r="I66" s="61">
        <f>Feuil1!$F$12*Feuil1!$F$17*Feuil1!$F$18/1000*1.1*(IF($C$55=1,C66,IF($C$55=2,E66,G66)))</f>
        <v>33</v>
      </c>
      <c r="J66" s="61">
        <f>H66*Feuil1!$F$20</f>
        <v>3.2175000000000002</v>
      </c>
      <c r="K66" s="61">
        <f>I66*Feuil1!$F$20</f>
        <v>4.29</v>
      </c>
      <c r="L66" t="str">
        <f t="shared" si="0"/>
        <v>25</v>
      </c>
      <c r="M66" t="str">
        <f t="shared" si="0"/>
        <v>33</v>
      </c>
      <c r="N66" t="str">
        <f>IF(L66&lt;&gt;M66,CONCATENATE(L66,"-",M66),L66)</f>
        <v>25-33</v>
      </c>
      <c r="O66" t="str">
        <f t="shared" si="1"/>
        <v>3</v>
      </c>
      <c r="P66" t="str">
        <f t="shared" si="1"/>
        <v>4</v>
      </c>
      <c r="Q66" t="str">
        <f>IF(O66&lt;&gt;P66,CONCATENATE(O66,"-",P66),O66)</f>
        <v>3-4</v>
      </c>
      <c r="R66" s="61" t="str">
        <f>TEXT(O66+Feuil1!$J$29,"0")</f>
        <v>4</v>
      </c>
      <c r="S66" s="61" t="str">
        <f>TEXT(P66+Feuil1!$J$29,"0")</f>
        <v>5</v>
      </c>
      <c r="T66" t="str">
        <f>IF(R66&lt;&gt;S66,CONCATENATE(R66,"-",S66),R66)</f>
        <v>4-5</v>
      </c>
      <c r="U66" s="67">
        <f>Feuil1!$H$38/(Feuil1!$F$31-R66)</f>
        <v>0.517427033153868</v>
      </c>
      <c r="V66" s="67">
        <f>Feuil1!$H$38/(Feuil1!$F$31-S66)</f>
        <v>0.5485130669870831</v>
      </c>
      <c r="W66" s="67" t="str">
        <f>IF(TEXT(U66,"0,0")&lt;&gt;TEXT(V66,"0,0"),CONCATENATE(TEXT(U66,"0,0"),"-",TEXT(V66,"0,0")),TEXT(U66,"0,0"))</f>
        <v>0,5</v>
      </c>
    </row>
    <row r="67" spans="1:23" ht="12.75">
      <c r="A67">
        <v>75</v>
      </c>
      <c r="B67">
        <v>13</v>
      </c>
      <c r="C67">
        <v>18</v>
      </c>
      <c r="D67">
        <v>52</v>
      </c>
      <c r="E67">
        <v>57</v>
      </c>
      <c r="F67">
        <v>14</v>
      </c>
      <c r="G67">
        <v>15</v>
      </c>
      <c r="H67" s="61">
        <f>Feuil1!$F$12*Feuil1!$F$17*Feuil1!$F$18/1000*1.1*(IF($C$55=1,B67,IF($C$55=2,D67,F67)))</f>
        <v>35.75</v>
      </c>
      <c r="I67" s="61">
        <f>Feuil1!$F$12*Feuil1!$F$17*Feuil1!$F$18/1000*1.1*(IF($C$55=1,C67,IF($C$55=2,E67,G67)))</f>
        <v>49.5</v>
      </c>
      <c r="J67" s="61">
        <f>H67*Feuil1!$F$20</f>
        <v>4.6475</v>
      </c>
      <c r="K67" s="61">
        <f>I67*Feuil1!$F$20</f>
        <v>6.4350000000000005</v>
      </c>
      <c r="L67" t="str">
        <f t="shared" si="0"/>
        <v>36</v>
      </c>
      <c r="M67" t="str">
        <f t="shared" si="0"/>
        <v>50</v>
      </c>
      <c r="N67" t="str">
        <f>IF(L67&lt;&gt;M67,CONCATENATE(L67,"-",M67),L67)</f>
        <v>36-50</v>
      </c>
      <c r="O67" t="str">
        <f t="shared" si="1"/>
        <v>5</v>
      </c>
      <c r="P67" t="str">
        <f t="shared" si="1"/>
        <v>6</v>
      </c>
      <c r="Q67" t="str">
        <f>IF(O67&lt;&gt;P67,CONCATENATE(O67,"-",P67),O67)</f>
        <v>5-6</v>
      </c>
      <c r="R67" s="61" t="str">
        <f>TEXT(O67+Feuil1!$J$29,"0")</f>
        <v>6</v>
      </c>
      <c r="S67" s="61" t="str">
        <f>TEXT(P67+Feuil1!$J$29,"0")</f>
        <v>7</v>
      </c>
      <c r="T67" t="str">
        <f>IF(R67&lt;&gt;S67,CONCATENATE(R67,"-",S67),R67)</f>
        <v>6-7</v>
      </c>
      <c r="U67" s="67">
        <f>Feuil1!$H$38/(Feuil1!$F$31-R67)</f>
        <v>0.5835730265260466</v>
      </c>
      <c r="V67" s="67">
        <f>Feuil1!$H$38/(Feuil1!$F$31-S67)</f>
        <v>0.6234209627859337</v>
      </c>
      <c r="W67" s="67" t="str">
        <f>IF(TEXT(U67,"0,0")&lt;&gt;TEXT(V67,"0,0"),CONCATENATE(TEXT(U67,"0,0"),"-",TEXT(V67,"0,0")),TEXT(U67,"0,0"))</f>
        <v>0,6</v>
      </c>
    </row>
    <row r="68" spans="1:23" ht="12.75">
      <c r="A68">
        <v>100</v>
      </c>
      <c r="B68">
        <v>18</v>
      </c>
      <c r="C68">
        <v>23</v>
      </c>
      <c r="D68">
        <v>70</v>
      </c>
      <c r="E68">
        <v>77</v>
      </c>
      <c r="F68">
        <v>20</v>
      </c>
      <c r="G68">
        <v>20</v>
      </c>
      <c r="H68" s="61">
        <f>Feuil1!$F$12*Feuil1!$F$17*Feuil1!$F$18/1000*1.1*(IF($C$55=1,B68,IF($C$55=2,D68,F68)))</f>
        <v>49.5</v>
      </c>
      <c r="I68" s="61">
        <f>Feuil1!$F$12*Feuil1!$F$17*Feuil1!$F$18/1000*1.1*(IF($C$55=1,C68,IF($C$55=2,E68,G68)))</f>
        <v>63.25</v>
      </c>
      <c r="J68" s="61">
        <f>H68*Feuil1!$F$20</f>
        <v>6.4350000000000005</v>
      </c>
      <c r="K68" s="61">
        <f>I68*Feuil1!$F$20</f>
        <v>8.2225</v>
      </c>
      <c r="L68" t="str">
        <f t="shared" si="0"/>
        <v>50</v>
      </c>
      <c r="M68" t="str">
        <f t="shared" si="0"/>
        <v>63</v>
      </c>
      <c r="N68" t="str">
        <f>IF(L68&lt;&gt;M68,CONCATENATE(L68,"-",M68),L68)</f>
        <v>50-63</v>
      </c>
      <c r="O68" t="str">
        <f t="shared" si="1"/>
        <v>6</v>
      </c>
      <c r="P68" t="str">
        <f t="shared" si="1"/>
        <v>8</v>
      </c>
      <c r="Q68" t="str">
        <f>IF(O68&lt;&gt;P68,CONCATENATE(O68,"-",P68),O68)</f>
        <v>6-8</v>
      </c>
      <c r="R68" s="61" t="str">
        <f>TEXT(O68+Feuil1!$J$29,"0")</f>
        <v>7</v>
      </c>
      <c r="S68" s="61" t="str">
        <f>TEXT(P68+Feuil1!$J$29,"0")</f>
        <v>9</v>
      </c>
      <c r="T68" t="str">
        <f>IF(R68&lt;&gt;S68,CONCATENATE(R68,"-",S68),R68)</f>
        <v>7-9</v>
      </c>
      <c r="U68" s="67">
        <f>Feuil1!$H$38/(Feuil1!$F$31-R68)</f>
        <v>0.6234209627859337</v>
      </c>
      <c r="V68" s="67">
        <f>Feuil1!$H$38/(Feuil1!$F$31-S68)</f>
        <v>0.7220245156188216</v>
      </c>
      <c r="W68" s="67" t="str">
        <f>IF(TEXT(U68,"0,0")&lt;&gt;TEXT(V68,"0,0"),CONCATENATE(TEXT(U68,"0,0"),"-",TEXT(V68,"0,0")),TEXT(U68,"0,0"))</f>
        <v>0,6-0,7</v>
      </c>
    </row>
    <row r="71" spans="18:19" ht="12.75">
      <c r="R71" s="61"/>
      <c r="S71" s="61"/>
    </row>
    <row r="72" spans="18:19" ht="12.75">
      <c r="R72" s="61"/>
      <c r="S72" s="61"/>
    </row>
    <row r="73" spans="18:19" ht="12.75">
      <c r="R73" s="61"/>
      <c r="S73" s="61"/>
    </row>
    <row r="74" spans="18:19" ht="12.75">
      <c r="R74" s="61"/>
      <c r="S74" s="61"/>
    </row>
    <row r="75" spans="18:19" ht="12.75">
      <c r="R75" s="61"/>
      <c r="S75" s="61"/>
    </row>
    <row r="76" ht="12.75">
      <c r="R76" s="61"/>
    </row>
  </sheetData>
  <sheetProtection/>
  <mergeCells count="3">
    <mergeCell ref="B63:C63"/>
    <mergeCell ref="D63:E63"/>
    <mergeCell ref="F63:G63"/>
  </mergeCells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P133 + HP4C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Climat 04</dc:creator>
  <cp:keywords/>
  <dc:description/>
  <cp:lastModifiedBy>Sylvie Rouche</cp:lastModifiedBy>
  <cp:lastPrinted>2004-05-05T14:35:31Z</cp:lastPrinted>
  <dcterms:created xsi:type="dcterms:W3CDTF">1998-06-29T12:49:09Z</dcterms:created>
  <dcterms:modified xsi:type="dcterms:W3CDTF">2019-05-14T08:45:47Z</dcterms:modified>
  <cp:category/>
  <cp:version/>
  <cp:contentType/>
  <cp:contentStatus/>
</cp:coreProperties>
</file>