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ésultats" sheetId="1" r:id="rId1"/>
    <sheet name="calcul" sheetId="2" r:id="rId2"/>
  </sheets>
  <definedNames>
    <definedName name="_xlnm.Print_Area" localSheetId="0">'Résultats'!$A$1:$N$56</definedName>
  </definedNames>
  <calcPr fullCalcOnLoad="1"/>
</workbook>
</file>

<file path=xl/sharedStrings.xml><?xml version="1.0" encoding="utf-8"?>
<sst xmlns="http://schemas.openxmlformats.org/spreadsheetml/2006/main" count="42" uniqueCount="36">
  <si>
    <t>Evaluation de la puissance et du volume du réservoir en semi-accumulation</t>
  </si>
  <si>
    <t>Cas du profil de puisage critique connu</t>
  </si>
  <si>
    <t>Convertisseur :</t>
  </si>
  <si>
    <t>litres à</t>
  </si>
  <si>
    <t>°C</t>
  </si>
  <si>
    <t xml:space="preserve">Encodez le profil de puisage durant la période la plus critique : </t>
  </si>
  <si>
    <t xml:space="preserve">     Périodicité des données du profil :</t>
  </si>
  <si>
    <t>minutes</t>
  </si>
  <si>
    <r>
      <rPr>
        <b/>
        <sz val="10"/>
        <color indexed="10"/>
        <rFont val="Arial"/>
        <family val="2"/>
      </rPr>
      <t>Attention:</t>
    </r>
    <r>
      <rPr>
        <sz val="10"/>
        <color indexed="10"/>
        <rFont val="Arial"/>
        <family val="2"/>
      </rPr>
      <t xml:space="preserve"> cette périodicité est à déterminer de manière à ce que le puisage sur cette période puisse être considéré comme constant (60min pour des puisages longs et continus (hôpitaux par exemple) à environ 10min pour des puisages courts et discontinus (vestiaire par exemple)).</t>
    </r>
  </si>
  <si>
    <t xml:space="preserve">    Température de puisage considéré :</t>
  </si>
  <si>
    <t xml:space="preserve">    Coefficient d'efficacité du ballon (a) :</t>
  </si>
  <si>
    <t xml:space="preserve">    Encodage du profil le plus critique :</t>
  </si>
  <si>
    <t>période</t>
  </si>
  <si>
    <t>litres en</t>
  </si>
  <si>
    <t>n°</t>
  </si>
  <si>
    <t>de la min.</t>
  </si>
  <si>
    <t>à la min.</t>
  </si>
  <si>
    <t>Durée du puisage à encoder  :</t>
  </si>
  <si>
    <t>heures</t>
  </si>
  <si>
    <r>
      <rPr>
        <b/>
        <sz val="10"/>
        <color indexed="10"/>
        <rFont val="Arial"/>
        <family val="2"/>
      </rPr>
      <t>Remarque</t>
    </r>
    <r>
      <rPr>
        <sz val="10"/>
        <color indexed="10"/>
        <rFont val="Arial"/>
        <family val="2"/>
      </rPr>
      <t>: après cette durée, le stockage est entièrement regénéré et pourrait faire face à une nouvelle période critique. Si la description de votre puisage critique ne recquiert pas 24 périodes mais que l'installation doit pouvoir faire face à un nouveau puisage critique avant le terme de ces 24 périodes, il faut répéter votre période de puisage critique dans la description ci-dessus.</t>
    </r>
  </si>
  <si>
    <t xml:space="preserve">Valeurs chiffrées de la courbe d'égale satisfaction des besoins : </t>
  </si>
  <si>
    <t>Volume Réservoir (litres à 60°C)</t>
  </si>
  <si>
    <t xml:space="preserve">Pour enregistrer vos données dans </t>
  </si>
  <si>
    <t xml:space="preserve">Pour imprimer cette feuille sur votre </t>
  </si>
  <si>
    <t>un fichier "Excel", cliquez ici :</t>
  </si>
  <si>
    <t xml:space="preserve">  imprimante par défaut, cliquez ici :</t>
  </si>
  <si>
    <t>Calculs de la puissance et du volume du réservoir</t>
  </si>
  <si>
    <t>(basé sur le fichier Dimensionnement en ECS)</t>
  </si>
  <si>
    <t>Température de puisage considéré :</t>
  </si>
  <si>
    <t>Périodicité des données du profil :</t>
  </si>
  <si>
    <t>heure</t>
  </si>
  <si>
    <t xml:space="preserve">Puisages max </t>
  </si>
  <si>
    <t>Puissance</t>
  </si>
  <si>
    <t>(kW)</t>
  </si>
  <si>
    <t>Energie puisée de pointe (kWh)</t>
  </si>
  <si>
    <t>=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</si>
</sst>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 &quot;#,##0.00&quot; &quot;[$€-401]&quot; &quot;;&quot;-&quot;#,##0.00&quot; &quot;[$€-401]&quot; &quot;;&quot; -&quot;00&quot; &quot;[$€-401]&quot; &quot;"/>
    <numFmt numFmtId="173" formatCode="0.0"/>
  </numFmts>
  <fonts count="9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i/>
      <sz val="10"/>
      <color indexed="8"/>
      <name val="Arial"/>
      <family val="2"/>
    </font>
    <font>
      <u val="single"/>
      <sz val="8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i/>
      <sz val="8"/>
      <color indexed="8"/>
      <name val="Arial"/>
      <family val="2"/>
    </font>
    <font>
      <b/>
      <i/>
      <sz val="8"/>
      <color indexed="12"/>
      <name val="Arial"/>
      <family val="2"/>
    </font>
    <font>
      <b/>
      <i/>
      <sz val="8"/>
      <color indexed="10"/>
      <name val="Arial"/>
      <family val="2"/>
    </font>
    <font>
      <i/>
      <sz val="8"/>
      <color indexed="8"/>
      <name val="Arial"/>
      <family val="2"/>
    </font>
    <font>
      <sz val="11"/>
      <name val="Calibri"/>
      <family val="0"/>
    </font>
    <font>
      <sz val="9.5"/>
      <color indexed="8"/>
      <name val="Arial"/>
      <family val="0"/>
    </font>
    <font>
      <sz val="9.75"/>
      <color indexed="8"/>
      <name val="Arial"/>
      <family val="0"/>
    </font>
    <font>
      <b/>
      <sz val="8"/>
      <color indexed="8"/>
      <name val="Calibri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0.25"/>
      <color indexed="8"/>
      <name val="Arial"/>
      <family val="0"/>
    </font>
    <font>
      <b/>
      <sz val="9.25"/>
      <color indexed="8"/>
      <name val="Arial"/>
      <family val="0"/>
    </font>
    <font>
      <b/>
      <sz val="10.5"/>
      <color indexed="8"/>
      <name val="Arial"/>
      <family val="0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rgb="FF0000FF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8000"/>
      <name val="Arial"/>
      <family val="2"/>
    </font>
    <font>
      <i/>
      <sz val="10"/>
      <color rgb="FF000000"/>
      <name val="Arial"/>
      <family val="2"/>
    </font>
    <font>
      <u val="single"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8000"/>
      <name val="Arial"/>
      <family val="2"/>
    </font>
    <font>
      <b/>
      <i/>
      <sz val="8"/>
      <color rgb="FF000000"/>
      <name val="Arial"/>
      <family val="2"/>
    </font>
    <font>
      <b/>
      <i/>
      <sz val="8"/>
      <color rgb="FF0000FF"/>
      <name val="Arial"/>
      <family val="2"/>
    </font>
    <font>
      <b/>
      <i/>
      <sz val="8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99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1" fillId="27" borderId="3" applyNumberFormat="0" applyFont="0" applyAlignment="0" applyProtection="0"/>
    <xf numFmtId="0" fontId="56" fillId="28" borderId="1" applyNumberFormat="0" applyAlignment="0" applyProtection="0"/>
    <xf numFmtId="17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0" fontId="59" fillId="30" borderId="0" applyNumberFormat="0" applyBorder="0" applyAlignment="0" applyProtection="0"/>
    <xf numFmtId="9" fontId="51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89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left" vertical="top"/>
    </xf>
    <xf numFmtId="0" fontId="72" fillId="0" borderId="0" xfId="0" applyFont="1" applyAlignment="1">
      <alignment horizontal="left" vertical="top"/>
    </xf>
    <xf numFmtId="0" fontId="75" fillId="33" borderId="10" xfId="0" applyFont="1" applyFill="1" applyBorder="1" applyAlignment="1">
      <alignment horizontal="center"/>
    </xf>
    <xf numFmtId="0" fontId="74" fillId="0" borderId="0" xfId="0" applyFont="1" applyAlignment="1">
      <alignment/>
    </xf>
    <xf numFmtId="0" fontId="0" fillId="0" borderId="0" xfId="0" applyFill="1" applyAlignment="1">
      <alignment/>
    </xf>
    <xf numFmtId="0" fontId="74" fillId="0" borderId="11" xfId="0" applyFont="1" applyBorder="1" applyAlignment="1">
      <alignment/>
    </xf>
    <xf numFmtId="0" fontId="76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76" fillId="0" borderId="0" xfId="0" applyFont="1" applyAlignment="1">
      <alignment horizontal="right"/>
    </xf>
    <xf numFmtId="0" fontId="76" fillId="0" borderId="15" xfId="0" applyFont="1" applyBorder="1" applyAlignment="1">
      <alignment horizontal="center"/>
    </xf>
    <xf numFmtId="0" fontId="74" fillId="0" borderId="0" xfId="0" applyFont="1" applyFill="1" applyAlignment="1">
      <alignment/>
    </xf>
    <xf numFmtId="172" fontId="0" fillId="0" borderId="0" xfId="44" applyFont="1" applyAlignment="1">
      <alignment/>
    </xf>
    <xf numFmtId="0" fontId="70" fillId="0" borderId="16" xfId="0" applyFont="1" applyBorder="1" applyAlignment="1">
      <alignment horizontal="center"/>
    </xf>
    <xf numFmtId="0" fontId="76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76" fillId="0" borderId="18" xfId="0" applyFont="1" applyFill="1" applyBorder="1" applyAlignment="1">
      <alignment horizontal="center"/>
    </xf>
    <xf numFmtId="0" fontId="74" fillId="0" borderId="16" xfId="0" applyFont="1" applyBorder="1" applyAlignment="1">
      <alignment horizontal="center"/>
    </xf>
    <xf numFmtId="0" fontId="74" fillId="0" borderId="19" xfId="0" applyFont="1" applyBorder="1" applyAlignment="1">
      <alignment horizontal="center"/>
    </xf>
    <xf numFmtId="1" fontId="75" fillId="33" borderId="20" xfId="0" applyNumberFormat="1" applyFont="1" applyFill="1" applyBorder="1" applyAlignment="1">
      <alignment horizontal="center"/>
    </xf>
    <xf numFmtId="1" fontId="77" fillId="0" borderId="0" xfId="0" applyNumberFormat="1" applyFont="1" applyFill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" fontId="75" fillId="33" borderId="1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77" fillId="0" borderId="0" xfId="0" applyFont="1" applyAlignment="1">
      <alignment/>
    </xf>
    <xf numFmtId="1" fontId="78" fillId="0" borderId="0" xfId="0" applyNumberFormat="1" applyFont="1" applyAlignment="1">
      <alignment/>
    </xf>
    <xf numFmtId="1" fontId="78" fillId="34" borderId="10" xfId="0" applyNumberFormat="1" applyFont="1" applyFill="1" applyBorder="1" applyAlignment="1">
      <alignment horizontal="center"/>
    </xf>
    <xf numFmtId="0" fontId="74" fillId="35" borderId="22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74" fillId="35" borderId="25" xfId="0" applyFont="1" applyFill="1" applyBorder="1" applyAlignment="1">
      <alignment/>
    </xf>
    <xf numFmtId="0" fontId="74" fillId="35" borderId="0" xfId="0" applyFont="1" applyFill="1" applyAlignment="1">
      <alignment/>
    </xf>
    <xf numFmtId="173" fontId="74" fillId="35" borderId="0" xfId="0" applyNumberFormat="1" applyFont="1" applyFill="1" applyAlignment="1">
      <alignment/>
    </xf>
    <xf numFmtId="173" fontId="74" fillId="35" borderId="26" xfId="0" applyNumberFormat="1" applyFont="1" applyFill="1" applyBorder="1" applyAlignment="1">
      <alignment/>
    </xf>
    <xf numFmtId="0" fontId="79" fillId="35" borderId="25" xfId="0" applyFont="1" applyFill="1" applyBorder="1" applyAlignment="1">
      <alignment/>
    </xf>
    <xf numFmtId="0" fontId="79" fillId="35" borderId="0" xfId="0" applyFont="1" applyFill="1" applyAlignment="1">
      <alignment/>
    </xf>
    <xf numFmtId="1" fontId="79" fillId="35" borderId="0" xfId="0" applyNumberFormat="1" applyFont="1" applyFill="1" applyAlignment="1">
      <alignment/>
    </xf>
    <xf numFmtId="1" fontId="79" fillId="35" borderId="26" xfId="0" applyNumberFormat="1" applyFont="1" applyFill="1" applyBorder="1" applyAlignment="1">
      <alignment/>
    </xf>
    <xf numFmtId="1" fontId="77" fillId="0" borderId="0" xfId="0" applyNumberFormat="1" applyFont="1" applyAlignment="1">
      <alignment/>
    </xf>
    <xf numFmtId="0" fontId="75" fillId="35" borderId="27" xfId="0" applyFont="1" applyFill="1" applyBorder="1" applyAlignment="1">
      <alignment/>
    </xf>
    <xf numFmtId="0" fontId="75" fillId="35" borderId="28" xfId="0" applyFont="1" applyFill="1" applyBorder="1" applyAlignment="1">
      <alignment/>
    </xf>
    <xf numFmtId="1" fontId="75" fillId="35" borderId="28" xfId="0" applyNumberFormat="1" applyFont="1" applyFill="1" applyBorder="1" applyAlignment="1">
      <alignment/>
    </xf>
    <xf numFmtId="1" fontId="75" fillId="35" borderId="29" xfId="0" applyNumberFormat="1" applyFont="1" applyFill="1" applyBorder="1" applyAlignment="1">
      <alignment/>
    </xf>
    <xf numFmtId="0" fontId="75" fillId="0" borderId="0" xfId="0" applyFont="1" applyAlignment="1">
      <alignment/>
    </xf>
    <xf numFmtId="1" fontId="75" fillId="0" borderId="0" xfId="0" applyNumberFormat="1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74" fillId="0" borderId="0" xfId="0" applyFont="1" applyAlignment="1">
      <alignment horizontal="center"/>
    </xf>
    <xf numFmtId="0" fontId="81" fillId="0" borderId="0" xfId="46" applyFont="1" applyAlignment="1">
      <alignment/>
    </xf>
    <xf numFmtId="0" fontId="77" fillId="0" borderId="0" xfId="0" applyFont="1" applyAlignment="1">
      <alignment horizontal="left"/>
    </xf>
    <xf numFmtId="2" fontId="77" fillId="0" borderId="0" xfId="0" applyNumberFormat="1" applyFont="1" applyAlignment="1">
      <alignment/>
    </xf>
    <xf numFmtId="0" fontId="7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173" fontId="74" fillId="0" borderId="0" xfId="0" applyNumberFormat="1" applyFont="1" applyAlignment="1">
      <alignment/>
    </xf>
    <xf numFmtId="173" fontId="77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2" fontId="75" fillId="0" borderId="0" xfId="0" applyNumberFormat="1" applyFont="1" applyAlignment="1">
      <alignment/>
    </xf>
    <xf numFmtId="0" fontId="84" fillId="0" borderId="0" xfId="0" applyFont="1" applyAlignment="1">
      <alignment/>
    </xf>
    <xf numFmtId="173" fontId="84" fillId="0" borderId="0" xfId="0" applyNumberFormat="1" applyFont="1" applyAlignment="1">
      <alignment/>
    </xf>
    <xf numFmtId="1" fontId="7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5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6" fillId="36" borderId="34" xfId="0" applyFont="1" applyFill="1" applyBorder="1" applyAlignment="1">
      <alignment horizontal="center"/>
    </xf>
    <xf numFmtId="1" fontId="87" fillId="34" borderId="34" xfId="0" applyNumberFormat="1" applyFont="1" applyFill="1" applyBorder="1" applyAlignment="1">
      <alignment horizontal="center"/>
    </xf>
    <xf numFmtId="0" fontId="74" fillId="0" borderId="35" xfId="0" applyFont="1" applyBorder="1" applyAlignment="1">
      <alignment/>
    </xf>
    <xf numFmtId="0" fontId="74" fillId="0" borderId="36" xfId="0" applyFont="1" applyBorder="1" applyAlignment="1">
      <alignment/>
    </xf>
    <xf numFmtId="0" fontId="74" fillId="0" borderId="37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38" xfId="0" applyFont="1" applyBorder="1" applyAlignment="1">
      <alignment/>
    </xf>
    <xf numFmtId="0" fontId="74" fillId="0" borderId="37" xfId="0" applyFont="1" applyBorder="1" applyAlignment="1" quotePrefix="1">
      <alignment horizontal="right"/>
    </xf>
    <xf numFmtId="0" fontId="0" fillId="0" borderId="0" xfId="0" applyFill="1" applyBorder="1" applyAlignment="1">
      <alignment/>
    </xf>
    <xf numFmtId="0" fontId="85" fillId="0" borderId="0" xfId="0" applyFont="1" applyFill="1" applyBorder="1" applyAlignment="1">
      <alignment/>
    </xf>
    <xf numFmtId="0" fontId="72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/>
    </xf>
    <xf numFmtId="0" fontId="88" fillId="0" borderId="0" xfId="0" applyFont="1" applyAlignment="1">
      <alignment horizontal="left" vertical="top" wrapText="1"/>
    </xf>
    <xf numFmtId="0" fontId="89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-0.00125"/>
          <c:w val="0.953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v>semaine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strLit>
          </c:cat>
          <c:val>
            <c:numRef>
              <c:f>Résultats!$E$20:$E$43</c:f>
              <c:numCache/>
            </c:numRef>
          </c:val>
        </c:ser>
        <c:ser>
          <c:idx val="1"/>
          <c:order val="1"/>
          <c:tx>
            <c:v>samedi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strLit>
          </c:cat>
          <c:val>
            <c:numLit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</c:ser>
        <c:ser>
          <c:idx val="2"/>
          <c:order val="2"/>
          <c:tx>
            <c:v>dimanche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str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0"/>
        <c:axId val="27741799"/>
        <c:axId val="48349600"/>
      </c:barChart>
      <c:catAx>
        <c:axId val="27741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période n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</a:p>
            </c:rich>
          </c:tx>
          <c:layout>
            <c:manualLayout>
              <c:xMode val="factor"/>
              <c:yMode val="factor"/>
              <c:x val="-0.015"/>
              <c:y val="0.1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49600"/>
        <c:crosses val="autoZero"/>
        <c:auto val="1"/>
        <c:lblOffset val="100"/>
        <c:tickLblSkip val="1"/>
        <c:noMultiLvlLbl val="0"/>
      </c:catAx>
      <c:valAx>
        <c:axId val="48349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puisage (litres/heure)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7417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 d'égale satisfaction des besoins</a:t>
            </a:r>
          </a:p>
        </c:rich>
      </c:tx>
      <c:layout>
        <c:manualLayout>
          <c:xMode val="factor"/>
          <c:yMode val="factor"/>
          <c:x val="-0.01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75"/>
          <c:y val="0.096"/>
          <c:w val="0.9415"/>
          <c:h val="0.828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Résultats!$E$55:$AB$55</c:f>
              <c:numCache/>
            </c:numRef>
          </c:xVal>
          <c:yVal>
            <c:numRef>
              <c:f>Résultats!$E$56:$AB$56</c:f>
              <c:numCache/>
            </c:numRef>
          </c:yVal>
          <c:smooth val="1"/>
        </c:ser>
        <c:axId val="32493217"/>
        <c:axId val="24003498"/>
      </c:scatterChart>
      <c:valAx>
        <c:axId val="32493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stockage (litres)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03498"/>
        <c:crosses val="autoZero"/>
        <c:crossBetween val="midCat"/>
        <c:dispUnits/>
      </c:valAx>
      <c:valAx>
        <c:axId val="24003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Puissance échangeur (kW)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93217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142875</xdr:colOff>
      <xdr:row>14</xdr:row>
      <xdr:rowOff>0</xdr:rowOff>
    </xdr:from>
    <xdr:ext cx="6838950" cy="2476500"/>
    <xdr:graphicFrame>
      <xdr:nvGraphicFramePr>
        <xdr:cNvPr id="1" name="Graphique 2"/>
        <xdr:cNvGraphicFramePr/>
      </xdr:nvGraphicFramePr>
      <xdr:xfrm>
        <a:off x="2333625" y="3105150"/>
        <a:ext cx="6838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142875</xdr:colOff>
      <xdr:row>30</xdr:row>
      <xdr:rowOff>9525</xdr:rowOff>
    </xdr:from>
    <xdr:ext cx="6838950" cy="2352675"/>
    <xdr:graphicFrame>
      <xdr:nvGraphicFramePr>
        <xdr:cNvPr id="2" name="Graphique 4"/>
        <xdr:cNvGraphicFramePr/>
      </xdr:nvGraphicFramePr>
      <xdr:xfrm>
        <a:off x="2333625" y="5638800"/>
        <a:ext cx="68389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3</xdr:col>
      <xdr:colOff>38100</xdr:colOff>
      <xdr:row>61</xdr:row>
      <xdr:rowOff>9525</xdr:rowOff>
    </xdr:from>
    <xdr:ext cx="1114425" cy="247650"/>
    <xdr:sp>
      <xdr:nvSpPr>
        <xdr:cNvPr id="3" name="Texte 10"/>
        <xdr:cNvSpPr txBox="1">
          <a:spLocks noChangeArrowheads="1"/>
        </xdr:cNvSpPr>
      </xdr:nvSpPr>
      <xdr:spPr>
        <a:xfrm>
          <a:off x="1362075" y="10544175"/>
          <a:ext cx="1114425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Enregistrer sous ...</a:t>
          </a:r>
        </a:p>
      </xdr:txBody>
    </xdr:sp>
    <xdr:clientData/>
  </xdr:oneCellAnchor>
  <xdr:oneCellAnchor>
    <xdr:from>
      <xdr:col>7</xdr:col>
      <xdr:colOff>200025</xdr:colOff>
      <xdr:row>61</xdr:row>
      <xdr:rowOff>47625</xdr:rowOff>
    </xdr:from>
    <xdr:ext cx="895350" cy="247650"/>
    <xdr:sp>
      <xdr:nvSpPr>
        <xdr:cNvPr id="4" name="Texte 11"/>
        <xdr:cNvSpPr txBox="1">
          <a:spLocks noChangeArrowheads="1"/>
        </xdr:cNvSpPr>
      </xdr:nvSpPr>
      <xdr:spPr>
        <a:xfrm>
          <a:off x="3324225" y="10582275"/>
          <a:ext cx="895350" cy="24765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Imprimer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Downloads/DimPreparateurECS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60"/>
  <sheetViews>
    <sheetView tabSelected="1" zoomScalePageLayoutView="0" workbookViewId="0" topLeftCell="A7">
      <selection activeCell="F12" sqref="F12"/>
    </sheetView>
  </sheetViews>
  <sheetFormatPr defaultColWidth="8.7109375" defaultRowHeight="12.75"/>
  <cols>
    <col min="1" max="1" width="1.8515625" style="0" customWidth="1"/>
    <col min="2" max="2" width="9.28125" style="0" customWidth="1"/>
    <col min="3" max="4" width="8.7109375" style="0" customWidth="1"/>
    <col min="5" max="6" width="4.28125" style="0" customWidth="1"/>
    <col min="7" max="7" width="9.7109375" style="0" customWidth="1"/>
    <col min="8" max="13" width="4.28125" style="0" customWidth="1"/>
    <col min="14" max="14" width="5.00390625" style="0" customWidth="1"/>
    <col min="15" max="28" width="4.28125" style="0" customWidth="1"/>
    <col min="29" max="29" width="8.7109375" style="0" customWidth="1"/>
  </cols>
  <sheetData>
    <row r="2" ht="18">
      <c r="B2" s="1" t="s">
        <v>0</v>
      </c>
    </row>
    <row r="3" spans="2:5" ht="12.75">
      <c r="B3" s="2" t="s">
        <v>1</v>
      </c>
      <c r="C3" s="3"/>
      <c r="E3" s="2"/>
    </row>
    <row r="4" spans="3:21" ht="12.75">
      <c r="C4" s="3"/>
      <c r="E4" s="2"/>
      <c r="M4" s="83"/>
      <c r="N4" s="83"/>
      <c r="O4" s="71" t="s">
        <v>2</v>
      </c>
      <c r="P4" s="77"/>
      <c r="Q4" s="77"/>
      <c r="R4" s="77"/>
      <c r="S4" s="77"/>
      <c r="T4" s="78"/>
      <c r="U4" s="83"/>
    </row>
    <row r="5" spans="3:21" ht="12.75">
      <c r="C5" s="3"/>
      <c r="E5" s="2"/>
      <c r="M5" s="83"/>
      <c r="N5" s="84"/>
      <c r="O5" s="79"/>
      <c r="P5" s="80"/>
      <c r="Q5" s="80"/>
      <c r="R5" s="80"/>
      <c r="S5" s="80"/>
      <c r="T5" s="81"/>
      <c r="U5" s="83"/>
    </row>
    <row r="6" spans="3:21" ht="12.75">
      <c r="C6" s="3"/>
      <c r="E6" s="2"/>
      <c r="M6" s="83"/>
      <c r="N6" s="85"/>
      <c r="O6" s="79"/>
      <c r="P6" s="75">
        <v>450</v>
      </c>
      <c r="Q6" s="88" t="s">
        <v>3</v>
      </c>
      <c r="R6" s="88"/>
      <c r="S6" s="75">
        <v>45</v>
      </c>
      <c r="T6" s="81" t="s">
        <v>4</v>
      </c>
      <c r="U6" s="83"/>
    </row>
    <row r="7" spans="3:21" ht="12.75">
      <c r="C7" s="3"/>
      <c r="E7" s="2"/>
      <c r="M7" s="83"/>
      <c r="N7" s="86"/>
      <c r="O7" s="82" t="s">
        <v>35</v>
      </c>
      <c r="P7" s="76">
        <f>+P6*(S6-10)/(S7-10)</f>
        <v>315</v>
      </c>
      <c r="Q7" s="88" t="s">
        <v>3</v>
      </c>
      <c r="R7" s="88"/>
      <c r="S7" s="75">
        <v>60</v>
      </c>
      <c r="T7" s="81" t="s">
        <v>4</v>
      </c>
      <c r="U7" s="83"/>
    </row>
    <row r="8" spans="3:21" ht="12.75">
      <c r="C8" s="3"/>
      <c r="M8" s="83"/>
      <c r="N8" s="83"/>
      <c r="O8" s="72"/>
      <c r="P8" s="73"/>
      <c r="Q8" s="73"/>
      <c r="R8" s="73"/>
      <c r="S8" s="73"/>
      <c r="T8" s="74"/>
      <c r="U8" s="83"/>
    </row>
    <row r="9" spans="3:21" ht="12.75">
      <c r="C9" s="2"/>
      <c r="M9" s="83"/>
      <c r="N9" s="83"/>
      <c r="O9" s="83"/>
      <c r="P9" s="83"/>
      <c r="Q9" s="83"/>
      <c r="R9" s="83"/>
      <c r="S9" s="83"/>
      <c r="T9" s="83"/>
      <c r="U9" s="83"/>
    </row>
    <row r="10" spans="2:8" ht="12.75">
      <c r="B10" s="5" t="s">
        <v>5</v>
      </c>
      <c r="C10" s="4"/>
      <c r="D10" s="4"/>
      <c r="E10" s="4"/>
      <c r="F10" s="4"/>
      <c r="G10" s="4"/>
      <c r="H10" s="4"/>
    </row>
    <row r="11" spans="2:28" ht="73.5" customHeight="1">
      <c r="B11" s="6" t="s">
        <v>6</v>
      </c>
      <c r="C11" s="7"/>
      <c r="D11" s="7"/>
      <c r="E11" s="7"/>
      <c r="F11" s="8">
        <v>15</v>
      </c>
      <c r="G11" s="7" t="s">
        <v>7</v>
      </c>
      <c r="H11" s="7"/>
      <c r="J11" s="87" t="s">
        <v>8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</row>
    <row r="12" spans="2:8" ht="12.75">
      <c r="B12" s="9" t="s">
        <v>9</v>
      </c>
      <c r="C12" s="4"/>
      <c r="D12" s="4"/>
      <c r="E12" s="4"/>
      <c r="F12" s="8">
        <v>50</v>
      </c>
      <c r="G12" s="9" t="s">
        <v>4</v>
      </c>
      <c r="H12" s="4"/>
    </row>
    <row r="13" spans="2:6" ht="12.75">
      <c r="B13" s="9" t="s">
        <v>10</v>
      </c>
      <c r="F13" s="8">
        <v>0.9</v>
      </c>
    </row>
    <row r="15" spans="2:6" ht="12.75">
      <c r="B15" s="9" t="s">
        <v>11</v>
      </c>
      <c r="D15" s="10"/>
      <c r="E15" s="10"/>
      <c r="F15" s="10"/>
    </row>
    <row r="16" spans="2:6" ht="12.75">
      <c r="B16" s="9"/>
      <c r="D16" s="10"/>
      <c r="E16" s="10"/>
      <c r="F16" s="10"/>
    </row>
    <row r="17" spans="2:6" ht="12.75">
      <c r="B17" s="11"/>
      <c r="C17" s="12" t="s">
        <v>12</v>
      </c>
      <c r="D17" s="13"/>
      <c r="E17" s="14" t="s">
        <v>13</v>
      </c>
      <c r="F17" s="10"/>
    </row>
    <row r="18" spans="2:7" ht="8.25" customHeight="1">
      <c r="B18" s="15"/>
      <c r="C18" s="16"/>
      <c r="D18" s="17"/>
      <c r="E18" s="17">
        <f>F11</f>
        <v>15</v>
      </c>
      <c r="F18" s="18"/>
      <c r="G18" s="19"/>
    </row>
    <row r="19" spans="2:7" ht="12" customHeight="1">
      <c r="B19" s="20" t="s">
        <v>14</v>
      </c>
      <c r="C19" s="21" t="s">
        <v>15</v>
      </c>
      <c r="D19" s="22" t="s">
        <v>16</v>
      </c>
      <c r="E19" s="23" t="s">
        <v>7</v>
      </c>
      <c r="F19" s="18"/>
      <c r="G19" s="19"/>
    </row>
    <row r="20" spans="2:7" ht="12.75">
      <c r="B20" s="24">
        <v>1</v>
      </c>
      <c r="C20" s="25">
        <v>0</v>
      </c>
      <c r="D20" s="25">
        <f>C20+F11</f>
        <v>15</v>
      </c>
      <c r="E20" s="26">
        <v>385</v>
      </c>
      <c r="F20" s="27"/>
      <c r="G20" s="18"/>
    </row>
    <row r="21" spans="2:7" ht="12.75">
      <c r="B21" s="28">
        <f aca="true" t="shared" si="0" ref="B21:B43">1+B20</f>
        <v>2</v>
      </c>
      <c r="C21" s="29">
        <f aca="true" t="shared" si="1" ref="C21:C43">C20+$F$11</f>
        <v>15</v>
      </c>
      <c r="D21" s="29">
        <f aca="true" t="shared" si="2" ref="D21:D43">D20+$F$11</f>
        <v>30</v>
      </c>
      <c r="E21" s="26">
        <v>385</v>
      </c>
      <c r="F21" s="27"/>
      <c r="G21" s="18"/>
    </row>
    <row r="22" spans="2:7" ht="12.75">
      <c r="B22" s="28">
        <f t="shared" si="0"/>
        <v>3</v>
      </c>
      <c r="C22" s="29">
        <f t="shared" si="1"/>
        <v>30</v>
      </c>
      <c r="D22" s="29">
        <f t="shared" si="2"/>
        <v>45</v>
      </c>
      <c r="E22" s="26">
        <v>120</v>
      </c>
      <c r="F22" s="27"/>
      <c r="G22" s="18"/>
    </row>
    <row r="23" spans="2:7" ht="12.75">
      <c r="B23" s="28">
        <f t="shared" si="0"/>
        <v>4</v>
      </c>
      <c r="C23" s="29">
        <f t="shared" si="1"/>
        <v>45</v>
      </c>
      <c r="D23" s="29">
        <f t="shared" si="2"/>
        <v>60</v>
      </c>
      <c r="E23" s="26">
        <v>30</v>
      </c>
      <c r="F23" s="27"/>
      <c r="G23" s="18"/>
    </row>
    <row r="24" spans="2:7" ht="12.75">
      <c r="B24" s="28">
        <f t="shared" si="0"/>
        <v>5</v>
      </c>
      <c r="C24" s="29">
        <f t="shared" si="1"/>
        <v>60</v>
      </c>
      <c r="D24" s="29">
        <f t="shared" si="2"/>
        <v>75</v>
      </c>
      <c r="E24" s="26">
        <v>10</v>
      </c>
      <c r="F24" s="27"/>
      <c r="G24" s="18"/>
    </row>
    <row r="25" spans="2:7" ht="12.75">
      <c r="B25" s="28">
        <f t="shared" si="0"/>
        <v>6</v>
      </c>
      <c r="C25" s="29">
        <f t="shared" si="1"/>
        <v>75</v>
      </c>
      <c r="D25" s="29">
        <f t="shared" si="2"/>
        <v>90</v>
      </c>
      <c r="E25" s="26">
        <v>448</v>
      </c>
      <c r="F25" s="27"/>
      <c r="G25" s="18"/>
    </row>
    <row r="26" spans="2:7" ht="12.75">
      <c r="B26" s="28">
        <f t="shared" si="0"/>
        <v>7</v>
      </c>
      <c r="C26" s="29">
        <f t="shared" si="1"/>
        <v>90</v>
      </c>
      <c r="D26" s="29">
        <f t="shared" si="2"/>
        <v>105</v>
      </c>
      <c r="E26" s="26">
        <v>420</v>
      </c>
      <c r="F26" s="27"/>
      <c r="G26" s="18"/>
    </row>
    <row r="27" spans="2:7" ht="12.75">
      <c r="B27" s="28">
        <f t="shared" si="0"/>
        <v>8</v>
      </c>
      <c r="C27" s="29">
        <f t="shared" si="1"/>
        <v>105</v>
      </c>
      <c r="D27" s="29">
        <f t="shared" si="2"/>
        <v>120</v>
      </c>
      <c r="E27" s="26">
        <v>210</v>
      </c>
      <c r="F27" s="27"/>
      <c r="G27" s="18"/>
    </row>
    <row r="28" spans="2:7" ht="12.75">
      <c r="B28" s="28">
        <f t="shared" si="0"/>
        <v>9</v>
      </c>
      <c r="C28" s="29">
        <f t="shared" si="1"/>
        <v>120</v>
      </c>
      <c r="D28" s="29">
        <f t="shared" si="2"/>
        <v>135</v>
      </c>
      <c r="E28" s="26">
        <v>320</v>
      </c>
      <c r="F28" s="27"/>
      <c r="G28" s="18"/>
    </row>
    <row r="29" spans="2:7" ht="12.75">
      <c r="B29" s="28">
        <f t="shared" si="0"/>
        <v>10</v>
      </c>
      <c r="C29" s="29">
        <f t="shared" si="1"/>
        <v>135</v>
      </c>
      <c r="D29" s="29">
        <f t="shared" si="2"/>
        <v>150</v>
      </c>
      <c r="E29" s="26">
        <v>305</v>
      </c>
      <c r="F29" s="27"/>
      <c r="G29" s="18"/>
    </row>
    <row r="30" spans="2:7" ht="12.75">
      <c r="B30" s="28">
        <f t="shared" si="0"/>
        <v>11</v>
      </c>
      <c r="C30" s="29">
        <f t="shared" si="1"/>
        <v>150</v>
      </c>
      <c r="D30" s="29">
        <f t="shared" si="2"/>
        <v>165</v>
      </c>
      <c r="E30" s="26">
        <v>350</v>
      </c>
      <c r="F30" s="27"/>
      <c r="G30" s="18"/>
    </row>
    <row r="31" spans="2:7" ht="12.75">
      <c r="B31" s="28">
        <f t="shared" si="0"/>
        <v>12</v>
      </c>
      <c r="C31" s="29">
        <f t="shared" si="1"/>
        <v>165</v>
      </c>
      <c r="D31" s="29">
        <f t="shared" si="2"/>
        <v>180</v>
      </c>
      <c r="E31" s="26">
        <v>448</v>
      </c>
      <c r="F31" s="27"/>
      <c r="G31" s="18"/>
    </row>
    <row r="32" spans="2:7" ht="12.75">
      <c r="B32" s="28">
        <f t="shared" si="0"/>
        <v>13</v>
      </c>
      <c r="C32" s="29">
        <f t="shared" si="1"/>
        <v>180</v>
      </c>
      <c r="D32" s="29">
        <f t="shared" si="2"/>
        <v>195</v>
      </c>
      <c r="E32" s="26">
        <v>120</v>
      </c>
      <c r="F32" s="27"/>
      <c r="G32" s="18"/>
    </row>
    <row r="33" spans="2:7" ht="12.75">
      <c r="B33" s="28">
        <f t="shared" si="0"/>
        <v>14</v>
      </c>
      <c r="C33" s="29">
        <f t="shared" si="1"/>
        <v>195</v>
      </c>
      <c r="D33" s="29">
        <f t="shared" si="2"/>
        <v>210</v>
      </c>
      <c r="E33" s="26">
        <v>15</v>
      </c>
      <c r="F33" s="27"/>
      <c r="G33" s="18"/>
    </row>
    <row r="34" spans="2:7" ht="12.75">
      <c r="B34" s="28">
        <f t="shared" si="0"/>
        <v>15</v>
      </c>
      <c r="C34" s="29">
        <f t="shared" si="1"/>
        <v>210</v>
      </c>
      <c r="D34" s="29">
        <f t="shared" si="2"/>
        <v>225</v>
      </c>
      <c r="E34" s="26">
        <v>20</v>
      </c>
      <c r="F34" s="27"/>
      <c r="G34" s="18"/>
    </row>
    <row r="35" spans="2:7" ht="12.75">
      <c r="B35" s="28">
        <f t="shared" si="0"/>
        <v>16</v>
      </c>
      <c r="C35" s="29">
        <f t="shared" si="1"/>
        <v>225</v>
      </c>
      <c r="D35" s="29">
        <f t="shared" si="2"/>
        <v>240</v>
      </c>
      <c r="E35" s="26">
        <v>35</v>
      </c>
      <c r="F35" s="27"/>
      <c r="G35" s="18"/>
    </row>
    <row r="36" spans="2:7" ht="12.75">
      <c r="B36" s="28">
        <f t="shared" si="0"/>
        <v>17</v>
      </c>
      <c r="C36" s="29">
        <f t="shared" si="1"/>
        <v>240</v>
      </c>
      <c r="D36" s="29">
        <f t="shared" si="2"/>
        <v>255</v>
      </c>
      <c r="E36" s="26">
        <v>250</v>
      </c>
      <c r="F36" s="27"/>
      <c r="G36" s="18"/>
    </row>
    <row r="37" spans="2:7" ht="12.75">
      <c r="B37" s="28">
        <f t="shared" si="0"/>
        <v>18</v>
      </c>
      <c r="C37" s="29">
        <f t="shared" si="1"/>
        <v>255</v>
      </c>
      <c r="D37" s="29">
        <f t="shared" si="2"/>
        <v>270</v>
      </c>
      <c r="E37" s="26">
        <v>448</v>
      </c>
      <c r="F37" s="27"/>
      <c r="G37" s="18"/>
    </row>
    <row r="38" spans="2:7" ht="12.75">
      <c r="B38" s="28">
        <f t="shared" si="0"/>
        <v>19</v>
      </c>
      <c r="C38" s="29">
        <f t="shared" si="1"/>
        <v>270</v>
      </c>
      <c r="D38" s="29">
        <f t="shared" si="2"/>
        <v>285</v>
      </c>
      <c r="E38" s="26">
        <v>368</v>
      </c>
      <c r="F38" s="27"/>
      <c r="G38" s="18"/>
    </row>
    <row r="39" spans="2:7" ht="12.75">
      <c r="B39" s="28">
        <f t="shared" si="0"/>
        <v>20</v>
      </c>
      <c r="C39" s="29">
        <f t="shared" si="1"/>
        <v>285</v>
      </c>
      <c r="D39" s="29">
        <f t="shared" si="2"/>
        <v>300</v>
      </c>
      <c r="E39" s="26">
        <v>250</v>
      </c>
      <c r="F39" s="27"/>
      <c r="G39" s="18"/>
    </row>
    <row r="40" spans="2:7" ht="12.75">
      <c r="B40" s="28">
        <f t="shared" si="0"/>
        <v>21</v>
      </c>
      <c r="C40" s="29">
        <f t="shared" si="1"/>
        <v>300</v>
      </c>
      <c r="D40" s="29">
        <f t="shared" si="2"/>
        <v>315</v>
      </c>
      <c r="E40" s="26">
        <v>100</v>
      </c>
      <c r="F40" s="27"/>
      <c r="G40" s="18"/>
    </row>
    <row r="41" spans="2:7" ht="12.75">
      <c r="B41" s="28">
        <f t="shared" si="0"/>
        <v>22</v>
      </c>
      <c r="C41" s="29">
        <f t="shared" si="1"/>
        <v>315</v>
      </c>
      <c r="D41" s="29">
        <f t="shared" si="2"/>
        <v>330</v>
      </c>
      <c r="E41" s="26">
        <v>50</v>
      </c>
      <c r="F41" s="27"/>
      <c r="G41" s="18"/>
    </row>
    <row r="42" spans="2:7" ht="12.75">
      <c r="B42" s="28">
        <f t="shared" si="0"/>
        <v>23</v>
      </c>
      <c r="C42" s="29">
        <f t="shared" si="1"/>
        <v>330</v>
      </c>
      <c r="D42" s="29">
        <f t="shared" si="2"/>
        <v>345</v>
      </c>
      <c r="E42" s="26">
        <v>12</v>
      </c>
      <c r="F42" s="27"/>
      <c r="G42" s="18"/>
    </row>
    <row r="43" spans="2:7" ht="12.75">
      <c r="B43" s="24">
        <f t="shared" si="0"/>
        <v>24</v>
      </c>
      <c r="C43" s="29">
        <f t="shared" si="1"/>
        <v>345</v>
      </c>
      <c r="D43" s="29">
        <f t="shared" si="2"/>
        <v>360</v>
      </c>
      <c r="E43" s="30">
        <v>5</v>
      </c>
      <c r="F43" s="27"/>
      <c r="G43" s="18"/>
    </row>
    <row r="44" spans="3:6" ht="12.75">
      <c r="C44" s="9"/>
      <c r="D44" s="9"/>
      <c r="E44" s="18"/>
      <c r="F44" s="18"/>
    </row>
    <row r="45" spans="3:6" ht="12.75">
      <c r="C45" s="9"/>
      <c r="D45" s="9"/>
      <c r="E45" s="18"/>
      <c r="F45" s="18"/>
    </row>
    <row r="46" spans="2:28" ht="12.75">
      <c r="B46" s="31" t="s">
        <v>17</v>
      </c>
      <c r="C46" s="32"/>
      <c r="D46" s="33"/>
      <c r="E46" s="34">
        <f>D43/60</f>
        <v>6</v>
      </c>
      <c r="F46" s="10" t="s">
        <v>18</v>
      </c>
      <c r="I46" s="87" t="s">
        <v>19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spans="2:28" ht="12.75">
      <c r="B47" s="31"/>
      <c r="C47" s="32"/>
      <c r="D47" s="33"/>
      <c r="E47" s="10"/>
      <c r="F47" s="10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 spans="2:28" ht="12.75">
      <c r="B48" s="31"/>
      <c r="C48" s="32"/>
      <c r="D48" s="33"/>
      <c r="E48" s="10"/>
      <c r="F48" s="10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</row>
    <row r="49" spans="2:28" ht="12.75">
      <c r="B49" s="31"/>
      <c r="C49" s="32"/>
      <c r="D49" s="33"/>
      <c r="E49" s="10"/>
      <c r="F49" s="10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</row>
    <row r="50" ht="10.5" customHeight="1"/>
    <row r="51" ht="12.75">
      <c r="B51" s="2" t="s">
        <v>20</v>
      </c>
    </row>
    <row r="52" ht="5.25" customHeight="1" thickBot="1"/>
    <row r="53" spans="1:28" ht="12.75">
      <c r="A53" s="9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8"/>
    </row>
    <row r="54" spans="1:28" ht="12.75">
      <c r="A54" s="9"/>
      <c r="B54" s="39" t="str">
        <f>+calcul!D39</f>
        <v>Energie puisée de pointe (kWh)</v>
      </c>
      <c r="C54" s="40"/>
      <c r="D54" s="40"/>
      <c r="E54" s="40">
        <v>0</v>
      </c>
      <c r="F54" s="41">
        <f>+calcul!D40</f>
        <v>0.6512799999999999</v>
      </c>
      <c r="G54" s="41">
        <f>calcul!D41</f>
        <v>6.171653333333332</v>
      </c>
      <c r="H54" s="41">
        <f>calcul!D42</f>
        <v>7.280379999999994</v>
      </c>
      <c r="I54" s="41">
        <f>calcul!D43</f>
        <v>8.689935999999996</v>
      </c>
      <c r="J54" s="41">
        <f>calcul!D44</f>
        <v>8.54417333333333</v>
      </c>
      <c r="K54" s="41">
        <f>calcul!D45</f>
        <v>7.137497142857143</v>
      </c>
      <c r="L54" s="41">
        <f>calcul!D46</f>
        <v>9.897129999999997</v>
      </c>
      <c r="M54" s="41">
        <f>calcul!D47</f>
        <v>20.970182222222206</v>
      </c>
      <c r="N54" s="41">
        <f>calcul!D48</f>
        <v>29.693715999999995</v>
      </c>
      <c r="O54" s="41">
        <f>calcul!D49</f>
        <v>26.173843636363628</v>
      </c>
      <c r="P54" s="41">
        <f>calcul!D50</f>
        <v>23.240616666666668</v>
      </c>
      <c r="Q54" s="41">
        <f>calcul!D51</f>
        <v>27.396701538461514</v>
      </c>
      <c r="R54" s="41">
        <f>calcul!D52</f>
        <v>28.958699999999993</v>
      </c>
      <c r="S54" s="41">
        <f>calcul!D53</f>
        <v>29.357221333333328</v>
      </c>
      <c r="T54" s="41">
        <f>calcul!D54</f>
        <v>32.7588025</v>
      </c>
      <c r="U54" s="41">
        <f>calcul!D55</f>
        <v>36.71796235294117</v>
      </c>
      <c r="V54" s="41">
        <f>calcul!D56</f>
        <v>38.211011111111105</v>
      </c>
      <c r="W54" s="41">
        <f>calcul!D57</f>
        <v>36.01627368421053</v>
      </c>
      <c r="X54" s="41">
        <f>calcul!D58</f>
        <v>35.962286000000006</v>
      </c>
      <c r="Y54" s="41">
        <f>calcul!D59</f>
        <v>38.23944</v>
      </c>
      <c r="Z54" s="41">
        <f>calcul!D60</f>
        <v>41.049670909090906</v>
      </c>
      <c r="AA54" s="41">
        <f>calcul!D61</f>
        <v>44.153547826086935</v>
      </c>
      <c r="AB54" s="42">
        <f>calcul!D62</f>
        <v>47.09374666666666</v>
      </c>
    </row>
    <row r="55" spans="1:35" ht="12.75">
      <c r="A55" s="9"/>
      <c r="B55" s="43" t="s">
        <v>21</v>
      </c>
      <c r="C55" s="44"/>
      <c r="D55" s="44"/>
      <c r="E55" s="45">
        <f aca="true" t="shared" si="3" ref="E55:AB55">+E54*1000/((60-10)*1.163)/$F$13</f>
        <v>0</v>
      </c>
      <c r="F55" s="45">
        <f t="shared" si="3"/>
        <v>12.444444444444441</v>
      </c>
      <c r="G55" s="45">
        <f t="shared" si="3"/>
        <v>117.9259259259259</v>
      </c>
      <c r="H55" s="45">
        <f t="shared" si="3"/>
        <v>139.11111111111097</v>
      </c>
      <c r="I55" s="45">
        <f t="shared" si="3"/>
        <v>166.04444444444437</v>
      </c>
      <c r="J55" s="45">
        <f t="shared" si="3"/>
        <v>163.2592592592592</v>
      </c>
      <c r="K55" s="45">
        <f t="shared" si="3"/>
        <v>136.38095238095238</v>
      </c>
      <c r="L55" s="45">
        <f t="shared" si="3"/>
        <v>189.11111111111106</v>
      </c>
      <c r="M55" s="45">
        <f t="shared" si="3"/>
        <v>400.69135802469106</v>
      </c>
      <c r="N55" s="45">
        <f t="shared" si="3"/>
        <v>567.3777777777776</v>
      </c>
      <c r="O55" s="45">
        <f t="shared" si="3"/>
        <v>500.121212121212</v>
      </c>
      <c r="P55" s="45">
        <f t="shared" si="3"/>
        <v>444.0740740740741</v>
      </c>
      <c r="Q55" s="45">
        <f t="shared" si="3"/>
        <v>523.4871794871791</v>
      </c>
      <c r="R55" s="45">
        <f t="shared" si="3"/>
        <v>553.3333333333331</v>
      </c>
      <c r="S55" s="45">
        <f t="shared" si="3"/>
        <v>560.948148148148</v>
      </c>
      <c r="T55" s="45">
        <f t="shared" si="3"/>
        <v>625.9444444444445</v>
      </c>
      <c r="U55" s="45">
        <f t="shared" si="3"/>
        <v>701.59477124183</v>
      </c>
      <c r="V55" s="45">
        <f t="shared" si="3"/>
        <v>730.1234567901233</v>
      </c>
      <c r="W55" s="45">
        <f t="shared" si="3"/>
        <v>688.1871345029241</v>
      </c>
      <c r="X55" s="45">
        <f t="shared" si="3"/>
        <v>687.1555555555557</v>
      </c>
      <c r="Y55" s="45">
        <f t="shared" si="3"/>
        <v>730.6666666666666</v>
      </c>
      <c r="Z55" s="45">
        <f t="shared" si="3"/>
        <v>784.3636363636363</v>
      </c>
      <c r="AA55" s="45">
        <f t="shared" si="3"/>
        <v>843.6714975845407</v>
      </c>
      <c r="AB55" s="46">
        <f t="shared" si="3"/>
        <v>899.8518518518517</v>
      </c>
      <c r="AC55" s="47"/>
      <c r="AD55" s="47"/>
      <c r="AE55" s="2"/>
      <c r="AF55" s="2"/>
      <c r="AG55" s="2"/>
      <c r="AH55" s="2"/>
      <c r="AI55" s="2"/>
    </row>
    <row r="56" spans="1:60" ht="13.5" thickBot="1">
      <c r="A56" s="9"/>
      <c r="B56" s="48" t="str">
        <f>+calcul!D37</f>
        <v>Puissance</v>
      </c>
      <c r="C56" s="49" t="str">
        <f>+calcul!E37</f>
        <v>(kW)</v>
      </c>
      <c r="D56" s="49"/>
      <c r="E56" s="50">
        <f>+calcul!G37</f>
        <v>83.36384</v>
      </c>
      <c r="F56" s="50">
        <f>+calcul!H37</f>
        <v>80.75872</v>
      </c>
      <c r="G56" s="50">
        <f>+calcul!I37</f>
        <v>68.41541333333333</v>
      </c>
      <c r="H56" s="50">
        <f>+calcul!J37</f>
        <v>66.19796000000001</v>
      </c>
      <c r="I56" s="50">
        <f>+calcul!K37</f>
        <v>63.378848000000005</v>
      </c>
      <c r="J56" s="50">
        <f>+calcul!L37</f>
        <v>63.67037333333334</v>
      </c>
      <c r="K56" s="50">
        <f>+calcul!M37</f>
        <v>66.48372571428571</v>
      </c>
      <c r="L56" s="50">
        <f>+calcul!N37</f>
        <v>60.96446</v>
      </c>
      <c r="M56" s="50">
        <f>+calcul!O37</f>
        <v>54.50076444444445</v>
      </c>
      <c r="N56" s="50">
        <f>+calcul!P37</f>
        <v>49.515888000000004</v>
      </c>
      <c r="O56" s="50">
        <f>+calcul!Q37</f>
        <v>51.52724363636364</v>
      </c>
      <c r="P56" s="50">
        <f>+calcul!R37</f>
        <v>53.20337333333333</v>
      </c>
      <c r="Q56" s="50">
        <f>+calcul!S37</f>
        <v>50.828467692307704</v>
      </c>
      <c r="R56" s="50">
        <f>+calcul!T37</f>
        <v>49.935897142857144</v>
      </c>
      <c r="S56" s="50">
        <f>+calcul!U37</f>
        <v>49.70817066666667</v>
      </c>
      <c r="T56" s="50">
        <f>+calcul!V37</f>
        <v>47.76441</v>
      </c>
      <c r="U56" s="50">
        <f>+calcul!W37</f>
        <v>45.50203294117647</v>
      </c>
      <c r="V56" s="50">
        <f>+calcul!X37</f>
        <v>44.64886222222222</v>
      </c>
      <c r="W56" s="50">
        <f>+calcul!Y37</f>
        <v>45.902997894736835</v>
      </c>
      <c r="X56" s="50">
        <f>+calcul!Z37</f>
        <v>45.933848</v>
      </c>
      <c r="Y56" s="50">
        <f>+calcul!AA37</f>
        <v>44.63261714285714</v>
      </c>
      <c r="Z56" s="50">
        <f>+calcul!AB37</f>
        <v>43.026770909090914</v>
      </c>
      <c r="AA56" s="50">
        <f>+calcul!AC37</f>
        <v>41.25312695652175</v>
      </c>
      <c r="AB56" s="51">
        <f>+calcul!AD37</f>
        <v>39.573013333333336</v>
      </c>
      <c r="AC56" s="47"/>
      <c r="AD56" s="47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9"/>
      <c r="B57" s="52"/>
      <c r="C57" s="52"/>
      <c r="D57" s="52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47"/>
      <c r="AD57" s="47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9"/>
      <c r="B58" s="52"/>
      <c r="C58" s="52"/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47"/>
      <c r="AD58" s="47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5:8" ht="12.75">
      <c r="E59" s="54" t="s">
        <v>22</v>
      </c>
      <c r="G59" s="54"/>
      <c r="H59" s="55" t="s">
        <v>23</v>
      </c>
    </row>
    <row r="60" spans="5:8" ht="12.75">
      <c r="E60" s="54" t="s">
        <v>24</v>
      </c>
      <c r="H60" s="55" t="s">
        <v>25</v>
      </c>
    </row>
  </sheetData>
  <sheetProtection/>
  <mergeCells count="4">
    <mergeCell ref="J11:AB11"/>
    <mergeCell ref="I46:AB49"/>
    <mergeCell ref="Q6:R6"/>
    <mergeCell ref="Q7:R7"/>
  </mergeCells>
  <printOptions/>
  <pageMargins left="0.787401575" right="0.787401575" top="0.9842519690000001" bottom="0.9842519690000001" header="0.49212598450000006" footer="0.49212598450000006"/>
  <pageSetup fitToHeight="0" fitToWidth="0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3" width="11.421875" style="56" customWidth="1"/>
    <col min="4" max="6" width="11.421875" style="0" customWidth="1"/>
    <col min="7" max="30" width="6.7109375" style="9" customWidth="1"/>
    <col min="31" max="31" width="11.421875" style="0" customWidth="1"/>
  </cols>
  <sheetData>
    <row r="2" spans="2:8" ht="12.75">
      <c r="B2" s="56" t="s">
        <v>26</v>
      </c>
      <c r="H2" s="57" t="s">
        <v>27</v>
      </c>
    </row>
    <row r="4" spans="2:6" ht="12.75">
      <c r="B4" s="58" t="s">
        <v>28</v>
      </c>
      <c r="E4" s="32">
        <f>+Résultats!F12</f>
        <v>50</v>
      </c>
      <c r="F4" s="32" t="s">
        <v>4</v>
      </c>
    </row>
    <row r="5" spans="2:6" ht="12.75">
      <c r="B5" s="32" t="s">
        <v>29</v>
      </c>
      <c r="E5" s="59">
        <f>Résultats!F11/60</f>
        <v>0.25</v>
      </c>
      <c r="F5" s="32" t="s">
        <v>30</v>
      </c>
    </row>
    <row r="6" ht="12.75">
      <c r="G6" s="32" t="s">
        <v>31</v>
      </c>
    </row>
    <row r="7" spans="2:31" ht="12.75">
      <c r="B7" s="60" t="s">
        <v>12</v>
      </c>
      <c r="C7" s="60"/>
      <c r="D7" s="61"/>
      <c r="E7" s="61"/>
      <c r="G7" s="60">
        <v>1</v>
      </c>
      <c r="H7" s="60">
        <f aca="true" t="shared" si="0" ref="H7:AD7">+G7+1</f>
        <v>2</v>
      </c>
      <c r="I7" s="60">
        <f t="shared" si="0"/>
        <v>3</v>
      </c>
      <c r="J7" s="60">
        <f t="shared" si="0"/>
        <v>4</v>
      </c>
      <c r="K7" s="60">
        <f t="shared" si="0"/>
        <v>5</v>
      </c>
      <c r="L7" s="60">
        <f t="shared" si="0"/>
        <v>6</v>
      </c>
      <c r="M7" s="60">
        <f t="shared" si="0"/>
        <v>7</v>
      </c>
      <c r="N7" s="60">
        <f t="shared" si="0"/>
        <v>8</v>
      </c>
      <c r="O7" s="60">
        <f t="shared" si="0"/>
        <v>9</v>
      </c>
      <c r="P7" s="60">
        <f t="shared" si="0"/>
        <v>10</v>
      </c>
      <c r="Q7" s="60">
        <f t="shared" si="0"/>
        <v>11</v>
      </c>
      <c r="R7" s="60">
        <f t="shared" si="0"/>
        <v>12</v>
      </c>
      <c r="S7" s="60">
        <f t="shared" si="0"/>
        <v>13</v>
      </c>
      <c r="T7" s="60">
        <f t="shared" si="0"/>
        <v>14</v>
      </c>
      <c r="U7" s="60">
        <f t="shared" si="0"/>
        <v>15</v>
      </c>
      <c r="V7" s="60">
        <f t="shared" si="0"/>
        <v>16</v>
      </c>
      <c r="W7" s="60">
        <f t="shared" si="0"/>
        <v>17</v>
      </c>
      <c r="X7" s="60">
        <f t="shared" si="0"/>
        <v>18</v>
      </c>
      <c r="Y7" s="60">
        <f t="shared" si="0"/>
        <v>19</v>
      </c>
      <c r="Z7" s="60">
        <f t="shared" si="0"/>
        <v>20</v>
      </c>
      <c r="AA7" s="60">
        <f t="shared" si="0"/>
        <v>21</v>
      </c>
      <c r="AB7" s="60">
        <f t="shared" si="0"/>
        <v>22</v>
      </c>
      <c r="AC7" s="60">
        <f t="shared" si="0"/>
        <v>23</v>
      </c>
      <c r="AD7" s="60">
        <f t="shared" si="0"/>
        <v>24</v>
      </c>
      <c r="AE7" s="61"/>
    </row>
    <row r="8" spans="2:30" ht="12.75">
      <c r="B8" s="56">
        <v>1</v>
      </c>
      <c r="C8" s="56">
        <f>+Résultats!E20</f>
        <v>385</v>
      </c>
      <c r="G8" s="62">
        <f aca="true" t="shared" si="1" ref="G8:G31">+C8*1.163*($E$4-10)/1000</f>
        <v>17.9102</v>
      </c>
      <c r="H8" s="62">
        <f aca="true" t="shared" si="2" ref="H8:H30">(+C8+C9)*1.163*($E$4-10)/1000</f>
        <v>35.8204</v>
      </c>
      <c r="I8" s="62">
        <f aca="true" t="shared" si="3" ref="I8:I29">+(C8+C9+C10)*1.163*($E$4-10)/1000</f>
        <v>41.4028</v>
      </c>
      <c r="J8" s="62">
        <f aca="true" t="shared" si="4" ref="J8:J28">+(C8+C9+C10+C11)*1.163*($E$4-10)/1000</f>
        <v>42.7984</v>
      </c>
      <c r="K8" s="62">
        <f aca="true" t="shared" si="5" ref="K8:K27">+(C8+C9+C10+C11+C12)*1.163*($E$4-10)/1000</f>
        <v>43.2636</v>
      </c>
      <c r="L8" s="62">
        <f>(+$C8+$C9+$C10+$C11+$C12+$C13)*1.163*($E$4-10)/1000</f>
        <v>64.10455999999999</v>
      </c>
      <c r="M8" s="62">
        <f aca="true" t="shared" si="6" ref="M8:M25">(+$C8+$C9+$C10+$C11+$C12+$C13+$C14)*1.163*($E$4-10)/1000</f>
        <v>83.64296</v>
      </c>
      <c r="N8" s="62">
        <f aca="true" t="shared" si="7" ref="N8:N24">(+$C8+$C9+$C10+$C11+$C12+$C13+$C14+$C15)*1.163*($E$4-10)/1000</f>
        <v>93.41216</v>
      </c>
      <c r="O8" s="62">
        <f aca="true" t="shared" si="8" ref="O8:O23">(+$C8+$C9+$C10+$C11+$C12+$C13+$C14+$C15+$C16)*1.163*($E$4-10)/1000</f>
        <v>108.29856</v>
      </c>
      <c r="P8" s="62">
        <f aca="true" t="shared" si="9" ref="P8:P22">(+$C8+$C9+$C10+$C11+$C12+$C13+$C14+$C15+$C16+$C17)*1.163*($E$4-10)/1000</f>
        <v>122.48716</v>
      </c>
      <c r="Q8" s="62">
        <f aca="true" t="shared" si="10" ref="Q8:Q21">(+$C8+$C9+$C10+$C11+$C12+$C13+$C14+$C15+$C16+$C17+$C18)*1.163*($E$4-10)/1000</f>
        <v>138.76916</v>
      </c>
      <c r="R8" s="62">
        <f aca="true" t="shared" si="11" ref="R8:R20">(+$C8+$C9+$C10+$C11+$C12+$C13+$C14+$C15+$C16+$C17+$C18+$C19)*1.163*($E$4-10)/1000</f>
        <v>159.61012</v>
      </c>
      <c r="S8" s="62">
        <f aca="true" t="shared" si="12" ref="S8:S19">(+$C8+$C9+$C10+$C11+$C12+$C13+$C14+$C15+$C16+$C17+$C18+$C19+$C20)*1.163*($E$4-10)/1000</f>
        <v>165.19252000000003</v>
      </c>
      <c r="T8" s="62">
        <f aca="true" t="shared" si="13" ref="T8:T18">(+$C8+$C9+$C10+$C11+$C12+$C13+$C14+$C15+$C16+$C17+$C18+$C19+$C20+$C21)*1.163*($E$4-10)/1000</f>
        <v>165.89032</v>
      </c>
      <c r="U8" s="62">
        <f aca="true" t="shared" si="14" ref="U8:U17">(+$C8+$C9+$C10+$C11+$C12+$C13+$C14+$C15+$C16+$C17+$C18+$C19+$C20+$C21+$C22)*1.163*($E$4-10)/1000</f>
        <v>166.82072</v>
      </c>
      <c r="V8" s="62">
        <f aca="true" t="shared" si="15" ref="V8:V16">(+$C8+$C9+$C10+$C11+$C12+$C13+$C14+$C15+$C16+$C17+$C18+$C19+$C20+$C21+$C22+$C23)*1.163*($E$4-10)/1000</f>
        <v>168.44892</v>
      </c>
      <c r="W8" s="62">
        <f aca="true" t="shared" si="16" ref="W8:W15">(+$C8+$C9+$C10+$C11+$C12+$C13+$C14+$C15+$C16+$C17+$C18+$C19+$C20+$C21+$C22+$C23+$C24)*1.163*($E$4-10)/1000</f>
        <v>180.07891999999998</v>
      </c>
      <c r="X8" s="62">
        <f aca="true" t="shared" si="17" ref="X8:X14">(+$C8+$C9+$C10+$C11+$C12+$C13+$C14+$C15+$C16+$C17+$C18+$C19+$C20+$C21+$C22+$C23+$C24+$C25)*1.163*($E$4-10)/1000</f>
        <v>200.91988</v>
      </c>
      <c r="Y8" s="62">
        <f aca="true" t="shared" si="18" ref="Y8:Y13">(+$C8+$C9+$C10+$C11+$C12+$C13+$C14+$C15+$C16+$C17+$C18+$C19+$C20+$C21+$C22+$C23+$C24+$C25+$C26)*1.163*($E$4-10)/1000</f>
        <v>218.03923999999998</v>
      </c>
      <c r="Z8" s="62">
        <f>(+$C8+$C9+$C10+$C11+$C12+$C13+$C14+$C15+$C16+$C17+$C18+$C19+$C20+$C21+$C22+$C23+$C24+$C25+$C26+$C27)*1.163*($E$4-10)/1000</f>
        <v>229.66924</v>
      </c>
      <c r="AA8" s="62">
        <f>(+$C8+$C9+$C10+$C11+$C12+$C13+$C14+$C15+$C16+$C17+$C18+$C19+$C20+$C21+$C22+$C23+$C24+$C25+$C26+$C27+$C28)*1.163*($E$4-10)/1000</f>
        <v>234.32124</v>
      </c>
      <c r="AB8" s="62">
        <f>(+$C8+$C9+$C10+$C11+$C12+$C13+$C14+$C15+$C16+$C17+$C18+$C19+$C20+$C21+$C22+$C23+$C24+$C25+$C26+$C27+$C28+$C29)*1.163*($E$4-10)/1000</f>
        <v>236.64724</v>
      </c>
      <c r="AC8" s="62">
        <f>(+$C8+$C9+$C10+$C11+$C12+$C13+$C14+$C15+$C16+$C17+$C18+$C19+$C20+$C21+$C22+$C23+$C24+$C25+$C26+$C27+$C28+$C29+$C30)*1.163*($E$4-10)/1000</f>
        <v>237.20548000000005</v>
      </c>
      <c r="AD8" s="62">
        <f>(+$C8+$C9+$C10+$C11+$C12+$C13+$C14+$C15+$C16+$C17+$C18+$C19+$C20+$C21+$C22+$C23+$C24+$C25+$C26+$C27+$C28+$C29+$C30+$C31)*1.163*($E$4-10)/1000</f>
        <v>237.43808</v>
      </c>
    </row>
    <row r="9" spans="2:30" ht="12.75">
      <c r="B9" s="56">
        <f aca="true" t="shared" si="19" ref="B9:B31">1+B8</f>
        <v>2</v>
      </c>
      <c r="C9" s="56">
        <f>+Résultats!E21</f>
        <v>385</v>
      </c>
      <c r="G9" s="62">
        <f t="shared" si="1"/>
        <v>17.9102</v>
      </c>
      <c r="H9" s="62">
        <f t="shared" si="2"/>
        <v>23.492600000000003</v>
      </c>
      <c r="I9" s="62">
        <f t="shared" si="3"/>
        <v>24.8882</v>
      </c>
      <c r="J9" s="62">
        <f t="shared" si="4"/>
        <v>25.3534</v>
      </c>
      <c r="K9" s="62">
        <f t="shared" si="5"/>
        <v>46.19436</v>
      </c>
      <c r="L9" s="62">
        <f aca="true" t="shared" si="20" ref="L9:L26">(+C9+C10+C11+C12+C13+C14)*1.163*($E$4-10)/1000</f>
        <v>65.73276</v>
      </c>
      <c r="M9" s="62">
        <f t="shared" si="6"/>
        <v>75.50196</v>
      </c>
      <c r="N9" s="62">
        <f t="shared" si="7"/>
        <v>90.38836000000002</v>
      </c>
      <c r="O9" s="62">
        <f t="shared" si="8"/>
        <v>104.57695999999999</v>
      </c>
      <c r="P9" s="62">
        <f t="shared" si="9"/>
        <v>120.85896000000001</v>
      </c>
      <c r="Q9" s="62">
        <f t="shared" si="10"/>
        <v>141.69992000000002</v>
      </c>
      <c r="R9" s="62">
        <f t="shared" si="11"/>
        <v>147.28232</v>
      </c>
      <c r="S9" s="62">
        <f t="shared" si="12"/>
        <v>147.98012</v>
      </c>
      <c r="T9" s="62">
        <f t="shared" si="13"/>
        <v>148.91052</v>
      </c>
      <c r="U9" s="62">
        <f t="shared" si="14"/>
        <v>150.53872</v>
      </c>
      <c r="V9" s="62">
        <f t="shared" si="15"/>
        <v>162.16872</v>
      </c>
      <c r="W9" s="62">
        <f t="shared" si="16"/>
        <v>183.00968</v>
      </c>
      <c r="X9" s="62">
        <f t="shared" si="17"/>
        <v>200.12904000000003</v>
      </c>
      <c r="Y9" s="62">
        <f t="shared" si="18"/>
        <v>211.75904000000003</v>
      </c>
      <c r="Z9" s="62">
        <f>(+$C9+$C10+$C11+$C12+$C13+$C14+$C15+$C16+$C17+$C18+$C19+$C20+$C21+$C22+$C23+$C24+$C25+$C26+$C27+$C28)*1.163*($E$4-10)/1000</f>
        <v>216.41103999999999</v>
      </c>
      <c r="AA9" s="62">
        <f>(+$C9+$C10+$C11+$C12+$C13+$C14+$C15+$C16+$C17+$C18+$C19+$C20+$C21+$C22+$C23+$C24+$C25+$C26+$C27+$C28+$C29)*1.163*($E$4-10)/1000</f>
        <v>218.73704</v>
      </c>
      <c r="AB9" s="62">
        <f>(+$C9+$C10+$C11+$C12+$C13+$C14+$C15+$C16+$C17+$C18+$C19+$C20+$C21+$C22+$C23+$C24+$C25+$C26+$C27+$C28+$C29+$C30)*1.163*($E$4-10)/1000</f>
        <v>219.29528000000002</v>
      </c>
      <c r="AC9" s="62">
        <f>(+$C9+$C10+$C11+$C12+$C13+$C14+$C15+$C16+$C17+$C18+$C19+$C20+$C21+$C22+$C23+$C24+$C25+$C26+$C27+$C28+$C29+$C30+$C31)*1.163*($E$4-10)/1000</f>
        <v>219.52788</v>
      </c>
      <c r="AD9" s="62"/>
    </row>
    <row r="10" spans="2:30" ht="12.75">
      <c r="B10" s="56">
        <f t="shared" si="19"/>
        <v>3</v>
      </c>
      <c r="C10" s="56">
        <f>+Résultats!E22</f>
        <v>120</v>
      </c>
      <c r="G10" s="62">
        <f t="shared" si="1"/>
        <v>5.5824</v>
      </c>
      <c r="H10" s="62">
        <f t="shared" si="2"/>
        <v>6.978000000000001</v>
      </c>
      <c r="I10" s="62">
        <f t="shared" si="3"/>
        <v>7.443200000000001</v>
      </c>
      <c r="J10" s="62">
        <f t="shared" si="4"/>
        <v>28.284160000000004</v>
      </c>
      <c r="K10" s="62">
        <f t="shared" si="5"/>
        <v>47.82256</v>
      </c>
      <c r="L10" s="62">
        <f t="shared" si="20"/>
        <v>57.59176</v>
      </c>
      <c r="M10" s="62">
        <f t="shared" si="6"/>
        <v>72.47816</v>
      </c>
      <c r="N10" s="62">
        <f t="shared" si="7"/>
        <v>86.66676</v>
      </c>
      <c r="O10" s="62">
        <f t="shared" si="8"/>
        <v>102.94876000000001</v>
      </c>
      <c r="P10" s="62">
        <f t="shared" si="9"/>
        <v>123.78972</v>
      </c>
      <c r="Q10" s="62">
        <f t="shared" si="10"/>
        <v>129.37212</v>
      </c>
      <c r="R10" s="62">
        <f t="shared" si="11"/>
        <v>130.06992</v>
      </c>
      <c r="S10" s="62">
        <f t="shared" si="12"/>
        <v>131.00032000000002</v>
      </c>
      <c r="T10" s="62">
        <f t="shared" si="13"/>
        <v>132.62852</v>
      </c>
      <c r="U10" s="62">
        <f t="shared" si="14"/>
        <v>144.25852000000003</v>
      </c>
      <c r="V10" s="62">
        <f t="shared" si="15"/>
        <v>165.09948</v>
      </c>
      <c r="W10" s="62">
        <f t="shared" si="16"/>
        <v>182.21884000000003</v>
      </c>
      <c r="X10" s="62">
        <f t="shared" si="17"/>
        <v>193.84884000000002</v>
      </c>
      <c r="Y10" s="62">
        <f t="shared" si="18"/>
        <v>198.50083999999998</v>
      </c>
      <c r="Z10" s="62">
        <f>(+$C10+$C11+$C12+$C13+$C14+$C15+$C16+$C17+$C18+$C19+$C20+$C21+$C22+$C23+$C24+$C25+$C26+$C27+$C28+$C29)*1.163*($E$4-10)/1000</f>
        <v>200.82684000000003</v>
      </c>
      <c r="AA10" s="62">
        <f>(+$C10+$C11+$C12+$C13+$C14+$C15+$C16+$C17+$C18+$C19+$C20+$C21+$C22+$C23+$C24+$C25+$C26+$C27+$C28+$C29+$C30)*1.163*($E$4-10)/1000</f>
        <v>201.38508000000002</v>
      </c>
      <c r="AB10" s="62">
        <f>(+$C10+$C11+$C12+$C13+$C14+$C15+$C16+$C17+$C18+$C19+$C20+$C21+$C22+$C23+$C24+$C25+$C26+$C27+$C28+$C29+$C30+$C31)*1.163*($E$4-10)/1000</f>
        <v>201.61768</v>
      </c>
      <c r="AC10" s="62"/>
      <c r="AD10" s="62"/>
    </row>
    <row r="11" spans="2:30" ht="12.75">
      <c r="B11" s="56">
        <f t="shared" si="19"/>
        <v>4</v>
      </c>
      <c r="C11" s="56">
        <f>+Résultats!E23</f>
        <v>30</v>
      </c>
      <c r="G11" s="62">
        <f t="shared" si="1"/>
        <v>1.3956</v>
      </c>
      <c r="H11" s="62">
        <f t="shared" si="2"/>
        <v>1.8608000000000002</v>
      </c>
      <c r="I11" s="62">
        <f t="shared" si="3"/>
        <v>22.70176</v>
      </c>
      <c r="J11" s="62">
        <f t="shared" si="4"/>
        <v>42.24016</v>
      </c>
      <c r="K11" s="62">
        <f t="shared" si="5"/>
        <v>52.00936000000001</v>
      </c>
      <c r="L11" s="62">
        <f t="shared" si="20"/>
        <v>66.89576</v>
      </c>
      <c r="M11" s="62">
        <f t="shared" si="6"/>
        <v>81.08436</v>
      </c>
      <c r="N11" s="62">
        <f t="shared" si="7"/>
        <v>97.36636</v>
      </c>
      <c r="O11" s="62">
        <f t="shared" si="8"/>
        <v>118.20732000000001</v>
      </c>
      <c r="P11" s="62">
        <f t="shared" si="9"/>
        <v>123.78972</v>
      </c>
      <c r="Q11" s="62">
        <f t="shared" si="10"/>
        <v>124.48752</v>
      </c>
      <c r="R11" s="62">
        <f t="shared" si="11"/>
        <v>125.41792</v>
      </c>
      <c r="S11" s="62">
        <f t="shared" si="12"/>
        <v>127.04612000000002</v>
      </c>
      <c r="T11" s="62">
        <f t="shared" si="13"/>
        <v>138.67612</v>
      </c>
      <c r="U11" s="62">
        <f t="shared" si="14"/>
        <v>159.51708000000002</v>
      </c>
      <c r="V11" s="62">
        <f t="shared" si="15"/>
        <v>176.63644</v>
      </c>
      <c r="W11" s="62">
        <f t="shared" si="16"/>
        <v>188.26644</v>
      </c>
      <c r="X11" s="62">
        <f t="shared" si="17"/>
        <v>192.91844</v>
      </c>
      <c r="Y11" s="62">
        <f t="shared" si="18"/>
        <v>195.24444</v>
      </c>
      <c r="Z11" s="62">
        <f>(+$C11+$C12+$C13+$C14+$C15+$C16+$C17+$C18+$C19+$C20+$C21+$C22+$C23+$C24+$C25+$C26+$C27+$C28+$C29+$C30)*1.163*($E$4-10)/1000</f>
        <v>195.80267999999998</v>
      </c>
      <c r="AA11" s="62">
        <f>(+$C11+$C12+$C13+$C14+$C15+$C16+$C17+$C18+$C19+$C20+$C21+$C22+$C23+$C24+$C25+$C26+$C27+$C28+$C29+$C30+$C31)*1.163*($E$4-10)/1000</f>
        <v>196.03528000000003</v>
      </c>
      <c r="AB11" s="62"/>
      <c r="AC11" s="62"/>
      <c r="AD11" s="62"/>
    </row>
    <row r="12" spans="2:30" ht="12.75">
      <c r="B12" s="56">
        <f t="shared" si="19"/>
        <v>5</v>
      </c>
      <c r="C12" s="56">
        <f>+Résultats!E24</f>
        <v>10</v>
      </c>
      <c r="G12" s="62">
        <f t="shared" si="1"/>
        <v>0.46520000000000006</v>
      </c>
      <c r="H12" s="62">
        <f t="shared" si="2"/>
        <v>21.30616</v>
      </c>
      <c r="I12" s="62">
        <f t="shared" si="3"/>
        <v>40.844559999999994</v>
      </c>
      <c r="J12" s="62">
        <f t="shared" si="4"/>
        <v>50.61376</v>
      </c>
      <c r="K12" s="62">
        <f t="shared" si="5"/>
        <v>65.50016000000001</v>
      </c>
      <c r="L12" s="62">
        <f t="shared" si="20"/>
        <v>79.68876000000002</v>
      </c>
      <c r="M12" s="62">
        <f t="shared" si="6"/>
        <v>95.97076000000001</v>
      </c>
      <c r="N12" s="62">
        <f t="shared" si="7"/>
        <v>116.81172000000001</v>
      </c>
      <c r="O12" s="62">
        <f t="shared" si="8"/>
        <v>122.39412</v>
      </c>
      <c r="P12" s="62">
        <f t="shared" si="9"/>
        <v>123.09192000000002</v>
      </c>
      <c r="Q12" s="62">
        <f t="shared" si="10"/>
        <v>124.02232000000001</v>
      </c>
      <c r="R12" s="62">
        <f t="shared" si="11"/>
        <v>125.65051999999999</v>
      </c>
      <c r="S12" s="62">
        <f t="shared" si="12"/>
        <v>137.28052</v>
      </c>
      <c r="T12" s="62">
        <f t="shared" si="13"/>
        <v>158.12148000000002</v>
      </c>
      <c r="U12" s="62">
        <f t="shared" si="14"/>
        <v>175.24084</v>
      </c>
      <c r="V12" s="62">
        <f t="shared" si="15"/>
        <v>186.87084</v>
      </c>
      <c r="W12" s="62">
        <f t="shared" si="16"/>
        <v>191.52284</v>
      </c>
      <c r="X12" s="62">
        <f t="shared" si="17"/>
        <v>193.84884000000002</v>
      </c>
      <c r="Y12" s="62">
        <f t="shared" si="18"/>
        <v>194.40708</v>
      </c>
      <c r="Z12" s="62">
        <f>(+$C12+$C13+$C14+$C15+$C16+$C17+$C18+$C19+$C20+$C21+$C22+$C23+$C24+$C25+$C26+$C27+$C28+$C29+$C30+$C31)*1.163*($E$4-10)/1000</f>
        <v>194.63968</v>
      </c>
      <c r="AA12" s="62"/>
      <c r="AB12" s="62"/>
      <c r="AC12" s="62"/>
      <c r="AD12" s="62"/>
    </row>
    <row r="13" spans="2:30" ht="12.75">
      <c r="B13" s="56">
        <f t="shared" si="19"/>
        <v>6</v>
      </c>
      <c r="C13" s="56">
        <f>+Résultats!E25</f>
        <v>448</v>
      </c>
      <c r="G13" s="62">
        <f t="shared" si="1"/>
        <v>20.84096</v>
      </c>
      <c r="H13" s="62">
        <f t="shared" si="2"/>
        <v>40.37936</v>
      </c>
      <c r="I13" s="62">
        <f t="shared" si="3"/>
        <v>50.148559999999996</v>
      </c>
      <c r="J13" s="62">
        <f t="shared" si="4"/>
        <v>65.03496</v>
      </c>
      <c r="K13" s="62">
        <f t="shared" si="5"/>
        <v>79.22356</v>
      </c>
      <c r="L13" s="62">
        <f t="shared" si="20"/>
        <v>95.50556</v>
      </c>
      <c r="M13" s="62">
        <f t="shared" si="6"/>
        <v>116.34652</v>
      </c>
      <c r="N13" s="62">
        <f t="shared" si="7"/>
        <v>121.92892</v>
      </c>
      <c r="O13" s="62">
        <f t="shared" si="8"/>
        <v>122.62672</v>
      </c>
      <c r="P13" s="62">
        <f t="shared" si="9"/>
        <v>123.55712</v>
      </c>
      <c r="Q13" s="62">
        <f t="shared" si="10"/>
        <v>125.18532</v>
      </c>
      <c r="R13" s="62">
        <f t="shared" si="11"/>
        <v>136.81532</v>
      </c>
      <c r="S13" s="62">
        <f t="shared" si="12"/>
        <v>157.65628</v>
      </c>
      <c r="T13" s="62">
        <f t="shared" si="13"/>
        <v>174.77564</v>
      </c>
      <c r="U13" s="62">
        <f t="shared" si="14"/>
        <v>186.40564</v>
      </c>
      <c r="V13" s="62">
        <f t="shared" si="15"/>
        <v>191.05764</v>
      </c>
      <c r="W13" s="62">
        <f t="shared" si="16"/>
        <v>193.38364</v>
      </c>
      <c r="X13" s="62">
        <f t="shared" si="17"/>
        <v>193.94188</v>
      </c>
      <c r="Y13" s="62">
        <f t="shared" si="18"/>
        <v>194.17448000000002</v>
      </c>
      <c r="Z13" s="62"/>
      <c r="AA13" s="62"/>
      <c r="AB13" s="62"/>
      <c r="AC13" s="62"/>
      <c r="AD13" s="62"/>
    </row>
    <row r="14" spans="2:30" ht="12.75">
      <c r="B14" s="56">
        <f t="shared" si="19"/>
        <v>7</v>
      </c>
      <c r="C14" s="56">
        <f>+Résultats!E26</f>
        <v>420</v>
      </c>
      <c r="G14" s="62">
        <f t="shared" si="1"/>
        <v>19.538400000000003</v>
      </c>
      <c r="H14" s="62">
        <f t="shared" si="2"/>
        <v>29.3076</v>
      </c>
      <c r="I14" s="62">
        <f t="shared" si="3"/>
        <v>44.19400000000001</v>
      </c>
      <c r="J14" s="62">
        <f t="shared" si="4"/>
        <v>58.382600000000004</v>
      </c>
      <c r="K14" s="62">
        <f t="shared" si="5"/>
        <v>74.66460000000001</v>
      </c>
      <c r="L14" s="62">
        <f t="shared" si="20"/>
        <v>95.50556</v>
      </c>
      <c r="M14" s="62">
        <f t="shared" si="6"/>
        <v>101.08796000000001</v>
      </c>
      <c r="N14" s="62">
        <f t="shared" si="7"/>
        <v>101.78576000000001</v>
      </c>
      <c r="O14" s="62">
        <f t="shared" si="8"/>
        <v>102.71616</v>
      </c>
      <c r="P14" s="62">
        <f t="shared" si="9"/>
        <v>104.34436</v>
      </c>
      <c r="Q14" s="62">
        <f t="shared" si="10"/>
        <v>115.97436</v>
      </c>
      <c r="R14" s="62">
        <f t="shared" si="11"/>
        <v>136.81532</v>
      </c>
      <c r="S14" s="62">
        <f t="shared" si="12"/>
        <v>153.93468</v>
      </c>
      <c r="T14" s="62">
        <f t="shared" si="13"/>
        <v>165.56467999999998</v>
      </c>
      <c r="U14" s="62">
        <f t="shared" si="14"/>
        <v>170.21668000000003</v>
      </c>
      <c r="V14" s="62">
        <f t="shared" si="15"/>
        <v>172.54268</v>
      </c>
      <c r="W14" s="62">
        <f t="shared" si="16"/>
        <v>173.10092</v>
      </c>
      <c r="X14" s="62">
        <f t="shared" si="17"/>
        <v>173.33352</v>
      </c>
      <c r="Y14" s="62"/>
      <c r="Z14" s="62"/>
      <c r="AA14" s="62"/>
      <c r="AB14" s="62"/>
      <c r="AC14" s="62"/>
      <c r="AD14" s="62"/>
    </row>
    <row r="15" spans="2:30" ht="12.75">
      <c r="B15" s="56">
        <f t="shared" si="19"/>
        <v>8</v>
      </c>
      <c r="C15" s="56">
        <f>+Résultats!E27</f>
        <v>210</v>
      </c>
      <c r="G15" s="62">
        <f t="shared" si="1"/>
        <v>9.769200000000001</v>
      </c>
      <c r="H15" s="62">
        <f t="shared" si="2"/>
        <v>24.6556</v>
      </c>
      <c r="I15" s="62">
        <f t="shared" si="3"/>
        <v>38.844199999999994</v>
      </c>
      <c r="J15" s="62">
        <f t="shared" si="4"/>
        <v>55.1262</v>
      </c>
      <c r="K15" s="62">
        <f t="shared" si="5"/>
        <v>75.96716</v>
      </c>
      <c r="L15" s="62">
        <f t="shared" si="20"/>
        <v>81.54956</v>
      </c>
      <c r="M15" s="62">
        <f t="shared" si="6"/>
        <v>82.24736000000001</v>
      </c>
      <c r="N15" s="62">
        <f t="shared" si="7"/>
        <v>83.17775999999999</v>
      </c>
      <c r="O15" s="62">
        <f t="shared" si="8"/>
        <v>84.80596</v>
      </c>
      <c r="P15" s="62">
        <f t="shared" si="9"/>
        <v>96.43596</v>
      </c>
      <c r="Q15" s="62">
        <f t="shared" si="10"/>
        <v>117.27692000000002</v>
      </c>
      <c r="R15" s="62">
        <f t="shared" si="11"/>
        <v>134.39628</v>
      </c>
      <c r="S15" s="62">
        <f t="shared" si="12"/>
        <v>146.02627999999999</v>
      </c>
      <c r="T15" s="62">
        <f t="shared" si="13"/>
        <v>150.67828000000003</v>
      </c>
      <c r="U15" s="62">
        <f t="shared" si="14"/>
        <v>153.00428</v>
      </c>
      <c r="V15" s="62">
        <f t="shared" si="15"/>
        <v>153.56252</v>
      </c>
      <c r="W15" s="62">
        <f t="shared" si="16"/>
        <v>153.79512</v>
      </c>
      <c r="X15" s="62"/>
      <c r="Y15" s="62"/>
      <c r="Z15" s="62"/>
      <c r="AA15" s="62"/>
      <c r="AB15" s="62"/>
      <c r="AC15" s="62"/>
      <c r="AD15" s="62"/>
    </row>
    <row r="16" spans="2:30" ht="12.75">
      <c r="B16" s="56">
        <f t="shared" si="19"/>
        <v>9</v>
      </c>
      <c r="C16" s="56">
        <f>+Résultats!E28</f>
        <v>320</v>
      </c>
      <c r="G16" s="62">
        <f t="shared" si="1"/>
        <v>14.886400000000002</v>
      </c>
      <c r="H16" s="62">
        <f t="shared" si="2"/>
        <v>29.075</v>
      </c>
      <c r="I16" s="62">
        <f t="shared" si="3"/>
        <v>45.357</v>
      </c>
      <c r="J16" s="62">
        <f t="shared" si="4"/>
        <v>66.19796000000001</v>
      </c>
      <c r="K16" s="62">
        <f t="shared" si="5"/>
        <v>71.78036</v>
      </c>
      <c r="L16" s="62">
        <f t="shared" si="20"/>
        <v>72.47816</v>
      </c>
      <c r="M16" s="62">
        <f t="shared" si="6"/>
        <v>73.40856</v>
      </c>
      <c r="N16" s="62">
        <f t="shared" si="7"/>
        <v>75.03676000000002</v>
      </c>
      <c r="O16" s="62">
        <f t="shared" si="8"/>
        <v>86.66676</v>
      </c>
      <c r="P16" s="62">
        <f t="shared" si="9"/>
        <v>107.50772</v>
      </c>
      <c r="Q16" s="62">
        <f t="shared" si="10"/>
        <v>124.62708</v>
      </c>
      <c r="R16" s="62">
        <f t="shared" si="11"/>
        <v>136.25708000000003</v>
      </c>
      <c r="S16" s="62">
        <f t="shared" si="12"/>
        <v>140.90908000000002</v>
      </c>
      <c r="T16" s="62">
        <f t="shared" si="13"/>
        <v>143.23507999999998</v>
      </c>
      <c r="U16" s="62">
        <f t="shared" si="14"/>
        <v>143.79332</v>
      </c>
      <c r="V16" s="62">
        <f t="shared" si="15"/>
        <v>144.02592</v>
      </c>
      <c r="W16" s="62"/>
      <c r="X16" s="62"/>
      <c r="Y16" s="62"/>
      <c r="Z16" s="62"/>
      <c r="AA16" s="62"/>
      <c r="AB16" s="62"/>
      <c r="AC16" s="62"/>
      <c r="AD16" s="62"/>
    </row>
    <row r="17" spans="2:30" ht="12.75">
      <c r="B17" s="56">
        <f t="shared" si="19"/>
        <v>10</v>
      </c>
      <c r="C17" s="56">
        <f>+Résultats!E29</f>
        <v>305</v>
      </c>
      <c r="G17" s="62">
        <f t="shared" si="1"/>
        <v>14.188600000000003</v>
      </c>
      <c r="H17" s="62">
        <f t="shared" si="2"/>
        <v>30.470599999999997</v>
      </c>
      <c r="I17" s="62">
        <f t="shared" si="3"/>
        <v>51.31156</v>
      </c>
      <c r="J17" s="62">
        <f t="shared" si="4"/>
        <v>56.89396</v>
      </c>
      <c r="K17" s="62">
        <f t="shared" si="5"/>
        <v>57.59176</v>
      </c>
      <c r="L17" s="62">
        <f t="shared" si="20"/>
        <v>58.52216000000001</v>
      </c>
      <c r="M17" s="62">
        <f t="shared" si="6"/>
        <v>60.15036</v>
      </c>
      <c r="N17" s="62">
        <f t="shared" si="7"/>
        <v>71.78036</v>
      </c>
      <c r="O17" s="62">
        <f t="shared" si="8"/>
        <v>92.62132</v>
      </c>
      <c r="P17" s="62">
        <f t="shared" si="9"/>
        <v>109.74068000000001</v>
      </c>
      <c r="Q17" s="62">
        <f t="shared" si="10"/>
        <v>121.37068000000001</v>
      </c>
      <c r="R17" s="62">
        <f t="shared" si="11"/>
        <v>126.02268</v>
      </c>
      <c r="S17" s="62">
        <f t="shared" si="12"/>
        <v>128.34868</v>
      </c>
      <c r="T17" s="62">
        <f t="shared" si="13"/>
        <v>128.90692</v>
      </c>
      <c r="U17" s="62">
        <f t="shared" si="14"/>
        <v>129.13952</v>
      </c>
      <c r="V17" s="62"/>
      <c r="W17" s="62"/>
      <c r="X17" s="62"/>
      <c r="Y17" s="62"/>
      <c r="Z17" s="62"/>
      <c r="AA17" s="62"/>
      <c r="AB17" s="62"/>
      <c r="AC17" s="62"/>
      <c r="AD17" s="62"/>
    </row>
    <row r="18" spans="2:30" ht="12.75">
      <c r="B18" s="56">
        <f t="shared" si="19"/>
        <v>11</v>
      </c>
      <c r="C18" s="56">
        <f>+Résultats!E30</f>
        <v>350</v>
      </c>
      <c r="G18" s="62">
        <f t="shared" si="1"/>
        <v>16.282</v>
      </c>
      <c r="H18" s="62">
        <f t="shared" si="2"/>
        <v>37.122960000000006</v>
      </c>
      <c r="I18" s="62">
        <f t="shared" si="3"/>
        <v>42.70536</v>
      </c>
      <c r="J18" s="62">
        <f t="shared" si="4"/>
        <v>43.40316</v>
      </c>
      <c r="K18" s="62">
        <f t="shared" si="5"/>
        <v>44.33356</v>
      </c>
      <c r="L18" s="62">
        <f t="shared" si="20"/>
        <v>45.961760000000005</v>
      </c>
      <c r="M18" s="62">
        <f t="shared" si="6"/>
        <v>57.59176</v>
      </c>
      <c r="N18" s="62">
        <f t="shared" si="7"/>
        <v>78.43272</v>
      </c>
      <c r="O18" s="62">
        <f t="shared" si="8"/>
        <v>95.55208</v>
      </c>
      <c r="P18" s="62">
        <f t="shared" si="9"/>
        <v>107.18208</v>
      </c>
      <c r="Q18" s="62">
        <f t="shared" si="10"/>
        <v>111.83407999999999</v>
      </c>
      <c r="R18" s="62">
        <f t="shared" si="11"/>
        <v>114.16008000000001</v>
      </c>
      <c r="S18" s="62">
        <f t="shared" si="12"/>
        <v>114.71832</v>
      </c>
      <c r="T18" s="62">
        <f t="shared" si="13"/>
        <v>114.95092000000001</v>
      </c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2:30" ht="12.75">
      <c r="B19" s="56">
        <f t="shared" si="19"/>
        <v>12</v>
      </c>
      <c r="C19" s="56">
        <f>+Résultats!E31</f>
        <v>448</v>
      </c>
      <c r="G19" s="62">
        <f t="shared" si="1"/>
        <v>20.84096</v>
      </c>
      <c r="H19" s="62">
        <f t="shared" si="2"/>
        <v>26.42336</v>
      </c>
      <c r="I19" s="62">
        <f t="shared" si="3"/>
        <v>27.12116</v>
      </c>
      <c r="J19" s="62">
        <f t="shared" si="4"/>
        <v>28.05156</v>
      </c>
      <c r="K19" s="62">
        <f t="shared" si="5"/>
        <v>29.67976</v>
      </c>
      <c r="L19" s="62">
        <f t="shared" si="20"/>
        <v>41.30976000000001</v>
      </c>
      <c r="M19" s="62">
        <f t="shared" si="6"/>
        <v>62.15072</v>
      </c>
      <c r="N19" s="62">
        <f t="shared" si="7"/>
        <v>79.27008000000001</v>
      </c>
      <c r="O19" s="62">
        <f t="shared" si="8"/>
        <v>90.90008</v>
      </c>
      <c r="P19" s="62">
        <f t="shared" si="9"/>
        <v>95.55208</v>
      </c>
      <c r="Q19" s="62">
        <f t="shared" si="10"/>
        <v>97.87808000000001</v>
      </c>
      <c r="R19" s="62">
        <f t="shared" si="11"/>
        <v>98.43632</v>
      </c>
      <c r="S19" s="62">
        <f t="shared" si="12"/>
        <v>98.66892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ht="12.75">
      <c r="B20" s="56">
        <f t="shared" si="19"/>
        <v>13</v>
      </c>
      <c r="C20" s="56">
        <f>+Résultats!E32</f>
        <v>120</v>
      </c>
      <c r="G20" s="62">
        <f t="shared" si="1"/>
        <v>5.5824</v>
      </c>
      <c r="H20" s="62">
        <f t="shared" si="2"/>
        <v>6.2802</v>
      </c>
      <c r="I20" s="62">
        <f t="shared" si="3"/>
        <v>7.2106</v>
      </c>
      <c r="J20" s="62">
        <f t="shared" si="4"/>
        <v>8.838799999999999</v>
      </c>
      <c r="K20" s="62">
        <f t="shared" si="5"/>
        <v>20.4688</v>
      </c>
      <c r="L20" s="62">
        <f t="shared" si="20"/>
        <v>41.30976000000001</v>
      </c>
      <c r="M20" s="62">
        <f t="shared" si="6"/>
        <v>58.429120000000005</v>
      </c>
      <c r="N20" s="62">
        <f t="shared" si="7"/>
        <v>70.05912</v>
      </c>
      <c r="O20" s="62">
        <f t="shared" si="8"/>
        <v>74.71112</v>
      </c>
      <c r="P20" s="62">
        <f t="shared" si="9"/>
        <v>77.03712000000002</v>
      </c>
      <c r="Q20" s="62">
        <f t="shared" si="10"/>
        <v>77.59536</v>
      </c>
      <c r="R20" s="62">
        <f t="shared" si="11"/>
        <v>77.82796</v>
      </c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2:30" ht="12.75">
      <c r="B21" s="56">
        <f t="shared" si="19"/>
        <v>14</v>
      </c>
      <c r="C21" s="56">
        <f>+Résultats!E33</f>
        <v>15</v>
      </c>
      <c r="G21" s="62">
        <f t="shared" si="1"/>
        <v>0.6978</v>
      </c>
      <c r="H21" s="62">
        <f t="shared" si="2"/>
        <v>1.6281999999999999</v>
      </c>
      <c r="I21" s="62">
        <f t="shared" si="3"/>
        <v>3.2563999999999997</v>
      </c>
      <c r="J21" s="62">
        <f t="shared" si="4"/>
        <v>14.886400000000002</v>
      </c>
      <c r="K21" s="62">
        <f t="shared" si="5"/>
        <v>35.72736</v>
      </c>
      <c r="L21" s="62">
        <f t="shared" si="20"/>
        <v>52.84672</v>
      </c>
      <c r="M21" s="62">
        <f t="shared" si="6"/>
        <v>64.47672</v>
      </c>
      <c r="N21" s="62">
        <f t="shared" si="7"/>
        <v>69.12872</v>
      </c>
      <c r="O21" s="62">
        <f t="shared" si="8"/>
        <v>71.45472</v>
      </c>
      <c r="P21" s="62">
        <f t="shared" si="9"/>
        <v>72.01296</v>
      </c>
      <c r="Q21" s="62">
        <f t="shared" si="10"/>
        <v>72.24556</v>
      </c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30" ht="12.75">
      <c r="B22" s="56">
        <f t="shared" si="19"/>
        <v>15</v>
      </c>
      <c r="C22" s="56">
        <f>+Résultats!E34</f>
        <v>20</v>
      </c>
      <c r="G22" s="62">
        <f t="shared" si="1"/>
        <v>0.9304000000000001</v>
      </c>
      <c r="H22" s="62">
        <f t="shared" si="2"/>
        <v>2.5586</v>
      </c>
      <c r="I22" s="62">
        <f t="shared" si="3"/>
        <v>14.188600000000003</v>
      </c>
      <c r="J22" s="62">
        <f t="shared" si="4"/>
        <v>35.02956</v>
      </c>
      <c r="K22" s="62">
        <f t="shared" si="5"/>
        <v>52.14892</v>
      </c>
      <c r="L22" s="62">
        <f t="shared" si="20"/>
        <v>63.77892</v>
      </c>
      <c r="M22" s="62">
        <f t="shared" si="6"/>
        <v>68.43092000000001</v>
      </c>
      <c r="N22" s="62">
        <f t="shared" si="7"/>
        <v>70.75692</v>
      </c>
      <c r="O22" s="62">
        <f t="shared" si="8"/>
        <v>71.31516</v>
      </c>
      <c r="P22" s="62">
        <f t="shared" si="9"/>
        <v>71.54776</v>
      </c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</row>
    <row r="23" spans="2:30" ht="12.75">
      <c r="B23" s="56">
        <f t="shared" si="19"/>
        <v>16</v>
      </c>
      <c r="C23" s="56">
        <f>+Résultats!E35</f>
        <v>35</v>
      </c>
      <c r="G23" s="62">
        <f t="shared" si="1"/>
        <v>1.6281999999999999</v>
      </c>
      <c r="H23" s="62">
        <f t="shared" si="2"/>
        <v>13.258199999999999</v>
      </c>
      <c r="I23" s="62">
        <f t="shared" si="3"/>
        <v>34.099160000000005</v>
      </c>
      <c r="J23" s="62">
        <f t="shared" si="4"/>
        <v>51.21852</v>
      </c>
      <c r="K23" s="62">
        <f t="shared" si="5"/>
        <v>62.84851999999999</v>
      </c>
      <c r="L23" s="62">
        <f t="shared" si="20"/>
        <v>67.50052000000001</v>
      </c>
      <c r="M23" s="62">
        <f t="shared" si="6"/>
        <v>69.82652</v>
      </c>
      <c r="N23" s="62">
        <f t="shared" si="7"/>
        <v>70.38476000000001</v>
      </c>
      <c r="O23" s="62">
        <f t="shared" si="8"/>
        <v>70.61736</v>
      </c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</row>
    <row r="24" spans="2:30" ht="12.75">
      <c r="B24" s="56">
        <f t="shared" si="19"/>
        <v>17</v>
      </c>
      <c r="C24" s="56">
        <f>+Résultats!E36</f>
        <v>250</v>
      </c>
      <c r="G24" s="62">
        <f t="shared" si="1"/>
        <v>11.63</v>
      </c>
      <c r="H24" s="62">
        <f t="shared" si="2"/>
        <v>32.47096</v>
      </c>
      <c r="I24" s="62">
        <f t="shared" si="3"/>
        <v>49.59032</v>
      </c>
      <c r="J24" s="62">
        <f t="shared" si="4"/>
        <v>61.22032</v>
      </c>
      <c r="K24" s="62">
        <f t="shared" si="5"/>
        <v>65.87232</v>
      </c>
      <c r="L24" s="62">
        <f t="shared" si="20"/>
        <v>68.19832000000001</v>
      </c>
      <c r="M24" s="62">
        <f t="shared" si="6"/>
        <v>68.75656</v>
      </c>
      <c r="N24" s="62">
        <f t="shared" si="7"/>
        <v>68.98916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</row>
    <row r="25" spans="2:30" ht="12.75">
      <c r="B25" s="56">
        <f t="shared" si="19"/>
        <v>18</v>
      </c>
      <c r="C25" s="56">
        <f>+Résultats!E37</f>
        <v>448</v>
      </c>
      <c r="G25" s="62">
        <f t="shared" si="1"/>
        <v>20.84096</v>
      </c>
      <c r="H25" s="62">
        <f t="shared" si="2"/>
        <v>37.96032</v>
      </c>
      <c r="I25" s="62">
        <f t="shared" si="3"/>
        <v>49.59032</v>
      </c>
      <c r="J25" s="62">
        <f t="shared" si="4"/>
        <v>54.24232</v>
      </c>
      <c r="K25" s="62">
        <f t="shared" si="5"/>
        <v>56.56832000000001</v>
      </c>
      <c r="L25" s="62">
        <f t="shared" si="20"/>
        <v>57.12656</v>
      </c>
      <c r="M25" s="62">
        <f t="shared" si="6"/>
        <v>57.35916</v>
      </c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</row>
    <row r="26" spans="2:30" ht="12.75">
      <c r="B26" s="56">
        <f t="shared" si="19"/>
        <v>19</v>
      </c>
      <c r="C26" s="56">
        <f>+Résultats!E38</f>
        <v>368</v>
      </c>
      <c r="G26" s="62">
        <f t="shared" si="1"/>
        <v>17.11936</v>
      </c>
      <c r="H26" s="62">
        <f t="shared" si="2"/>
        <v>28.74936</v>
      </c>
      <c r="I26" s="62">
        <f t="shared" si="3"/>
        <v>33.401360000000004</v>
      </c>
      <c r="J26" s="62">
        <f t="shared" si="4"/>
        <v>35.72736</v>
      </c>
      <c r="K26" s="62">
        <f t="shared" si="5"/>
        <v>36.285599999999995</v>
      </c>
      <c r="L26" s="62">
        <f t="shared" si="20"/>
        <v>36.51820000000001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</row>
    <row r="27" spans="2:30" ht="12.75">
      <c r="B27" s="56">
        <f t="shared" si="19"/>
        <v>20</v>
      </c>
      <c r="C27" s="56">
        <f>+Résultats!E39</f>
        <v>250</v>
      </c>
      <c r="G27" s="62">
        <f t="shared" si="1"/>
        <v>11.63</v>
      </c>
      <c r="H27" s="62">
        <f t="shared" si="2"/>
        <v>16.282</v>
      </c>
      <c r="I27" s="62">
        <f t="shared" si="3"/>
        <v>18.608</v>
      </c>
      <c r="J27" s="62">
        <f t="shared" si="4"/>
        <v>19.166240000000002</v>
      </c>
      <c r="K27" s="62">
        <f t="shared" si="5"/>
        <v>19.39884</v>
      </c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</row>
    <row r="28" spans="2:30" ht="12.75">
      <c r="B28" s="56">
        <f t="shared" si="19"/>
        <v>21</v>
      </c>
      <c r="C28" s="56">
        <f>+Résultats!E40</f>
        <v>100</v>
      </c>
      <c r="G28" s="62">
        <f t="shared" si="1"/>
        <v>4.652</v>
      </c>
      <c r="H28" s="62">
        <f t="shared" si="2"/>
        <v>6.978000000000001</v>
      </c>
      <c r="I28" s="62">
        <f t="shared" si="3"/>
        <v>7.536239999999999</v>
      </c>
      <c r="J28" s="62">
        <f t="shared" si="4"/>
        <v>7.76884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</row>
    <row r="29" spans="2:30" ht="12.75">
      <c r="B29" s="56">
        <f t="shared" si="19"/>
        <v>22</v>
      </c>
      <c r="C29" s="56">
        <f>+Résultats!E41</f>
        <v>50</v>
      </c>
      <c r="G29" s="62">
        <f t="shared" si="1"/>
        <v>2.326</v>
      </c>
      <c r="H29" s="62">
        <f t="shared" si="2"/>
        <v>2.88424</v>
      </c>
      <c r="I29" s="62">
        <f t="shared" si="3"/>
        <v>3.1168400000000003</v>
      </c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</row>
    <row r="30" spans="2:30" ht="12.75">
      <c r="B30" s="56">
        <f t="shared" si="19"/>
        <v>23</v>
      </c>
      <c r="C30" s="56">
        <f>+Résultats!E42</f>
        <v>12</v>
      </c>
      <c r="G30" s="62">
        <f t="shared" si="1"/>
        <v>0.55824</v>
      </c>
      <c r="H30" s="62">
        <f t="shared" si="2"/>
        <v>0.79084</v>
      </c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</row>
    <row r="31" spans="2:30" ht="12.75">
      <c r="B31" s="56">
        <f t="shared" si="19"/>
        <v>24</v>
      </c>
      <c r="C31" s="56">
        <f>+Résultats!E43</f>
        <v>5</v>
      </c>
      <c r="G31" s="62">
        <f t="shared" si="1"/>
        <v>0.23260000000000003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</row>
    <row r="32" spans="7:30" ht="12.75">
      <c r="G32" s="63">
        <f aca="true" t="shared" si="21" ref="G32:AD32">MAX(G8:G31)</f>
        <v>20.84096</v>
      </c>
      <c r="H32" s="63">
        <f t="shared" si="21"/>
        <v>40.37936</v>
      </c>
      <c r="I32" s="63">
        <f t="shared" si="21"/>
        <v>51.31156</v>
      </c>
      <c r="J32" s="63">
        <f t="shared" si="21"/>
        <v>66.19796000000001</v>
      </c>
      <c r="K32" s="63">
        <f t="shared" si="21"/>
        <v>79.22356</v>
      </c>
      <c r="L32" s="63">
        <f t="shared" si="21"/>
        <v>95.50556</v>
      </c>
      <c r="M32" s="63">
        <f t="shared" si="21"/>
        <v>116.34652</v>
      </c>
      <c r="N32" s="63">
        <f t="shared" si="21"/>
        <v>121.92892</v>
      </c>
      <c r="O32" s="63">
        <f t="shared" si="21"/>
        <v>122.62672</v>
      </c>
      <c r="P32" s="63">
        <f t="shared" si="21"/>
        <v>123.78972</v>
      </c>
      <c r="Q32" s="63">
        <f t="shared" si="21"/>
        <v>141.69992000000002</v>
      </c>
      <c r="R32" s="63">
        <f t="shared" si="21"/>
        <v>159.61012</v>
      </c>
      <c r="S32" s="63">
        <f t="shared" si="21"/>
        <v>165.19252000000003</v>
      </c>
      <c r="T32" s="63">
        <f t="shared" si="21"/>
        <v>174.77564</v>
      </c>
      <c r="U32" s="63">
        <f t="shared" si="21"/>
        <v>186.40564</v>
      </c>
      <c r="V32" s="63">
        <f t="shared" si="21"/>
        <v>191.05764</v>
      </c>
      <c r="W32" s="63">
        <f t="shared" si="21"/>
        <v>193.38364</v>
      </c>
      <c r="X32" s="63">
        <f t="shared" si="21"/>
        <v>200.91988</v>
      </c>
      <c r="Y32" s="63">
        <f t="shared" si="21"/>
        <v>218.03923999999998</v>
      </c>
      <c r="Z32" s="63">
        <f t="shared" si="21"/>
        <v>229.66924</v>
      </c>
      <c r="AA32" s="63">
        <f t="shared" si="21"/>
        <v>234.32124</v>
      </c>
      <c r="AB32" s="63">
        <f t="shared" si="21"/>
        <v>236.64724</v>
      </c>
      <c r="AC32" s="63">
        <f t="shared" si="21"/>
        <v>237.20548000000005</v>
      </c>
      <c r="AD32" s="63">
        <f t="shared" si="21"/>
        <v>237.43808</v>
      </c>
    </row>
    <row r="35" spans="7:32" ht="12.75">
      <c r="G35" s="59">
        <f aca="true" t="shared" si="22" ref="G35:AD35">+G7*$E$5</f>
        <v>0.25</v>
      </c>
      <c r="H35" s="59">
        <f t="shared" si="22"/>
        <v>0.5</v>
      </c>
      <c r="I35" s="59">
        <f t="shared" si="22"/>
        <v>0.75</v>
      </c>
      <c r="J35" s="59">
        <f t="shared" si="22"/>
        <v>1</v>
      </c>
      <c r="K35" s="59">
        <f t="shared" si="22"/>
        <v>1.25</v>
      </c>
      <c r="L35" s="59">
        <f t="shared" si="22"/>
        <v>1.5</v>
      </c>
      <c r="M35" s="59">
        <f t="shared" si="22"/>
        <v>1.75</v>
      </c>
      <c r="N35" s="59">
        <f t="shared" si="22"/>
        <v>2</v>
      </c>
      <c r="O35" s="59">
        <f t="shared" si="22"/>
        <v>2.25</v>
      </c>
      <c r="P35" s="59">
        <f t="shared" si="22"/>
        <v>2.5</v>
      </c>
      <c r="Q35" s="59">
        <f t="shared" si="22"/>
        <v>2.75</v>
      </c>
      <c r="R35" s="59">
        <f t="shared" si="22"/>
        <v>3</v>
      </c>
      <c r="S35" s="59">
        <f t="shared" si="22"/>
        <v>3.25</v>
      </c>
      <c r="T35" s="59">
        <f t="shared" si="22"/>
        <v>3.5</v>
      </c>
      <c r="U35" s="59">
        <f t="shared" si="22"/>
        <v>3.75</v>
      </c>
      <c r="V35" s="59">
        <f t="shared" si="22"/>
        <v>4</v>
      </c>
      <c r="W35" s="59">
        <f t="shared" si="22"/>
        <v>4.25</v>
      </c>
      <c r="X35" s="59">
        <f t="shared" si="22"/>
        <v>4.5</v>
      </c>
      <c r="Y35" s="59">
        <f t="shared" si="22"/>
        <v>4.75</v>
      </c>
      <c r="Z35" s="59">
        <f t="shared" si="22"/>
        <v>5</v>
      </c>
      <c r="AA35" s="59">
        <f t="shared" si="22"/>
        <v>5.25</v>
      </c>
      <c r="AB35" s="59">
        <f t="shared" si="22"/>
        <v>5.5</v>
      </c>
      <c r="AC35" s="59">
        <f t="shared" si="22"/>
        <v>5.75</v>
      </c>
      <c r="AD35" s="59">
        <f t="shared" si="22"/>
        <v>6</v>
      </c>
      <c r="AE35" s="2"/>
      <c r="AF35" s="2"/>
    </row>
    <row r="36" spans="7:30" ht="12.75">
      <c r="G36" s="62">
        <f aca="true" t="shared" si="23" ref="G36:AD36">+G32</f>
        <v>20.84096</v>
      </c>
      <c r="H36" s="62">
        <f t="shared" si="23"/>
        <v>40.37936</v>
      </c>
      <c r="I36" s="62">
        <f t="shared" si="23"/>
        <v>51.31156</v>
      </c>
      <c r="J36" s="62">
        <f t="shared" si="23"/>
        <v>66.19796000000001</v>
      </c>
      <c r="K36" s="62">
        <f t="shared" si="23"/>
        <v>79.22356</v>
      </c>
      <c r="L36" s="62">
        <f t="shared" si="23"/>
        <v>95.50556</v>
      </c>
      <c r="M36" s="62">
        <f t="shared" si="23"/>
        <v>116.34652</v>
      </c>
      <c r="N36" s="62">
        <f t="shared" si="23"/>
        <v>121.92892</v>
      </c>
      <c r="O36" s="62">
        <f t="shared" si="23"/>
        <v>122.62672</v>
      </c>
      <c r="P36" s="62">
        <f t="shared" si="23"/>
        <v>123.78972</v>
      </c>
      <c r="Q36" s="62">
        <f t="shared" si="23"/>
        <v>141.69992000000002</v>
      </c>
      <c r="R36" s="62">
        <f t="shared" si="23"/>
        <v>159.61012</v>
      </c>
      <c r="S36" s="62">
        <f t="shared" si="23"/>
        <v>165.19252000000003</v>
      </c>
      <c r="T36" s="62">
        <f t="shared" si="23"/>
        <v>174.77564</v>
      </c>
      <c r="U36" s="62">
        <f t="shared" si="23"/>
        <v>186.40564</v>
      </c>
      <c r="V36" s="62">
        <f t="shared" si="23"/>
        <v>191.05764</v>
      </c>
      <c r="W36" s="62">
        <f t="shared" si="23"/>
        <v>193.38364</v>
      </c>
      <c r="X36" s="62">
        <f t="shared" si="23"/>
        <v>200.91988</v>
      </c>
      <c r="Y36" s="62">
        <f t="shared" si="23"/>
        <v>218.03923999999998</v>
      </c>
      <c r="Z36" s="62">
        <f t="shared" si="23"/>
        <v>229.66924</v>
      </c>
      <c r="AA36" s="62">
        <f t="shared" si="23"/>
        <v>234.32124</v>
      </c>
      <c r="AB36" s="62">
        <f t="shared" si="23"/>
        <v>236.64724</v>
      </c>
      <c r="AC36" s="62">
        <f t="shared" si="23"/>
        <v>237.20548000000005</v>
      </c>
      <c r="AD36" s="62">
        <f t="shared" si="23"/>
        <v>237.43808</v>
      </c>
    </row>
    <row r="37" spans="4:30" ht="12.75">
      <c r="D37" s="64" t="s">
        <v>32</v>
      </c>
      <c r="E37" s="64" t="s">
        <v>33</v>
      </c>
      <c r="F37" s="65"/>
      <c r="G37" s="66">
        <f aca="true" t="shared" si="24" ref="G37:AD37">+G36/(G35)</f>
        <v>83.36384</v>
      </c>
      <c r="H37" s="66">
        <f t="shared" si="24"/>
        <v>80.75872</v>
      </c>
      <c r="I37" s="66">
        <f t="shared" si="24"/>
        <v>68.41541333333333</v>
      </c>
      <c r="J37" s="66">
        <f t="shared" si="24"/>
        <v>66.19796000000001</v>
      </c>
      <c r="K37" s="66">
        <f t="shared" si="24"/>
        <v>63.378848000000005</v>
      </c>
      <c r="L37" s="66">
        <f t="shared" si="24"/>
        <v>63.67037333333334</v>
      </c>
      <c r="M37" s="66">
        <f t="shared" si="24"/>
        <v>66.48372571428571</v>
      </c>
      <c r="N37" s="66">
        <f t="shared" si="24"/>
        <v>60.96446</v>
      </c>
      <c r="O37" s="66">
        <f t="shared" si="24"/>
        <v>54.50076444444445</v>
      </c>
      <c r="P37" s="66">
        <f t="shared" si="24"/>
        <v>49.515888000000004</v>
      </c>
      <c r="Q37" s="66">
        <f t="shared" si="24"/>
        <v>51.52724363636364</v>
      </c>
      <c r="R37" s="66">
        <f t="shared" si="24"/>
        <v>53.20337333333333</v>
      </c>
      <c r="S37" s="66">
        <f t="shared" si="24"/>
        <v>50.828467692307704</v>
      </c>
      <c r="T37" s="66">
        <f t="shared" si="24"/>
        <v>49.935897142857144</v>
      </c>
      <c r="U37" s="66">
        <f t="shared" si="24"/>
        <v>49.70817066666667</v>
      </c>
      <c r="V37" s="66">
        <f t="shared" si="24"/>
        <v>47.76441</v>
      </c>
      <c r="W37" s="66">
        <f t="shared" si="24"/>
        <v>45.50203294117647</v>
      </c>
      <c r="X37" s="66">
        <f t="shared" si="24"/>
        <v>44.64886222222222</v>
      </c>
      <c r="Y37" s="66">
        <f t="shared" si="24"/>
        <v>45.902997894736835</v>
      </c>
      <c r="Z37" s="66">
        <f t="shared" si="24"/>
        <v>45.933848</v>
      </c>
      <c r="AA37" s="66">
        <f t="shared" si="24"/>
        <v>44.63261714285714</v>
      </c>
      <c r="AB37" s="66">
        <f t="shared" si="24"/>
        <v>43.026770909090914</v>
      </c>
      <c r="AC37" s="66">
        <f t="shared" si="24"/>
        <v>41.25312695652175</v>
      </c>
      <c r="AD37" s="66">
        <f t="shared" si="24"/>
        <v>39.573013333333336</v>
      </c>
    </row>
    <row r="39" spans="4:25" ht="12.75">
      <c r="D39" s="67" t="s">
        <v>34</v>
      </c>
      <c r="F39" s="2">
        <v>1</v>
      </c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4:25" ht="12.75">
      <c r="D40" s="68">
        <f aca="true" t="shared" si="25" ref="D40:D62">MAX(G40:AD40)</f>
        <v>0.6512799999999999</v>
      </c>
      <c r="F40" s="2">
        <f aca="true" t="shared" si="26" ref="F40:F62">+F39+1</f>
        <v>2</v>
      </c>
      <c r="G40" s="62">
        <f>+G36-$H$37*G35</f>
        <v>0.6512799999999999</v>
      </c>
      <c r="H40" s="62">
        <f>+H36-$H$37*H35</f>
        <v>0</v>
      </c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4:25" ht="12.75">
      <c r="D41" s="68">
        <f t="shared" si="25"/>
        <v>6.171653333333332</v>
      </c>
      <c r="F41" s="2">
        <f t="shared" si="26"/>
        <v>3</v>
      </c>
      <c r="G41" s="62">
        <f>+G36-$I$37*G35</f>
        <v>3.7371066666666657</v>
      </c>
      <c r="H41" s="62">
        <f>+H36-$I$37*H35</f>
        <v>6.171653333333332</v>
      </c>
      <c r="I41" s="62">
        <f>+I36-$I$37*I35</f>
        <v>0</v>
      </c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4:25" ht="12.75">
      <c r="D42" s="68">
        <f t="shared" si="25"/>
        <v>7.280379999999994</v>
      </c>
      <c r="F42" s="2">
        <f t="shared" si="26"/>
        <v>4</v>
      </c>
      <c r="G42" s="62">
        <f>+G36-$J$37*G35</f>
        <v>4.291469999999997</v>
      </c>
      <c r="H42" s="62">
        <f>+H36-$J$37*H35</f>
        <v>7.280379999999994</v>
      </c>
      <c r="I42" s="62">
        <f>+I36-$J$37*I35</f>
        <v>1.6630899999999968</v>
      </c>
      <c r="J42" s="62">
        <f>+J36-$J$37*J35</f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4:25" ht="12.75">
      <c r="D43" s="68">
        <f t="shared" si="25"/>
        <v>8.689935999999996</v>
      </c>
      <c r="F43" s="2">
        <f t="shared" si="26"/>
        <v>5</v>
      </c>
      <c r="G43" s="62">
        <f>+$G36-$K$37*G35</f>
        <v>4.996247999999998</v>
      </c>
      <c r="H43" s="62">
        <f>+H36-$K$37*H35</f>
        <v>8.689935999999996</v>
      </c>
      <c r="I43" s="62">
        <f>+I36-$K$37*I35</f>
        <v>3.7774239999999963</v>
      </c>
      <c r="J43" s="62">
        <f>+J36-$K$37*J35</f>
        <v>2.819112000000004</v>
      </c>
      <c r="K43" s="62">
        <f>+K36-$K$37*K35</f>
        <v>0</v>
      </c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4:25" ht="12.75">
      <c r="D44" s="68">
        <f t="shared" si="25"/>
        <v>8.54417333333333</v>
      </c>
      <c r="F44" s="2">
        <f t="shared" si="26"/>
        <v>6</v>
      </c>
      <c r="G44" s="62">
        <f aca="true" t="shared" si="27" ref="G44:L44">+G36-$L$37*G35</f>
        <v>4.923366666666665</v>
      </c>
      <c r="H44" s="62">
        <f t="shared" si="27"/>
        <v>8.54417333333333</v>
      </c>
      <c r="I44" s="62">
        <f t="shared" si="27"/>
        <v>3.5587799999999987</v>
      </c>
      <c r="J44" s="62">
        <f t="shared" si="27"/>
        <v>2.5275866666666715</v>
      </c>
      <c r="K44" s="62">
        <f t="shared" si="27"/>
        <v>-0.36440666666666743</v>
      </c>
      <c r="L44" s="62">
        <f t="shared" si="27"/>
        <v>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4:25" ht="12.75">
      <c r="D45" s="68">
        <f t="shared" si="25"/>
        <v>7.137497142857143</v>
      </c>
      <c r="F45" s="2">
        <f t="shared" si="26"/>
        <v>7</v>
      </c>
      <c r="G45" s="62">
        <f aca="true" t="shared" si="28" ref="G45:M45">+G36-$M$37*G35</f>
        <v>4.220028571428571</v>
      </c>
      <c r="H45" s="62">
        <f t="shared" si="28"/>
        <v>7.137497142857143</v>
      </c>
      <c r="I45" s="62">
        <f t="shared" si="28"/>
        <v>1.448765714285713</v>
      </c>
      <c r="J45" s="62">
        <f t="shared" si="28"/>
        <v>-0.2857657142857022</v>
      </c>
      <c r="K45" s="62">
        <f t="shared" si="28"/>
        <v>-3.8810971428571293</v>
      </c>
      <c r="L45" s="62">
        <f t="shared" si="28"/>
        <v>-4.220028571428571</v>
      </c>
      <c r="M45" s="62">
        <f t="shared" si="28"/>
        <v>0</v>
      </c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4:25" ht="12.75">
      <c r="D46" s="68">
        <f t="shared" si="25"/>
        <v>9.897129999999997</v>
      </c>
      <c r="F46" s="2">
        <f t="shared" si="26"/>
        <v>8</v>
      </c>
      <c r="G46" s="62">
        <f aca="true" t="shared" si="29" ref="G46:N46">+G36-$N$37*G35</f>
        <v>5.599844999999998</v>
      </c>
      <c r="H46" s="62">
        <f t="shared" si="29"/>
        <v>9.897129999999997</v>
      </c>
      <c r="I46" s="62">
        <f t="shared" si="29"/>
        <v>5.588214999999998</v>
      </c>
      <c r="J46" s="62">
        <f t="shared" si="29"/>
        <v>5.2335000000000065</v>
      </c>
      <c r="K46" s="62">
        <f t="shared" si="29"/>
        <v>3.017984999999996</v>
      </c>
      <c r="L46" s="62">
        <f t="shared" si="29"/>
        <v>4.058869999999999</v>
      </c>
      <c r="M46" s="62">
        <f t="shared" si="29"/>
        <v>9.658715</v>
      </c>
      <c r="N46" s="62">
        <f t="shared" si="29"/>
        <v>0</v>
      </c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4:31" ht="12.75">
      <c r="D47" s="68">
        <f t="shared" si="25"/>
        <v>20.970182222222206</v>
      </c>
      <c r="F47" s="69">
        <f t="shared" si="26"/>
        <v>9</v>
      </c>
      <c r="G47" s="62">
        <f aca="true" t="shared" si="30" ref="G47:O47">+G36-$O$37*G35</f>
        <v>7.215768888888887</v>
      </c>
      <c r="H47" s="62">
        <f t="shared" si="30"/>
        <v>13.128977777777774</v>
      </c>
      <c r="I47" s="62">
        <f t="shared" si="30"/>
        <v>10.435986666666665</v>
      </c>
      <c r="J47" s="62">
        <f t="shared" si="30"/>
        <v>11.69719555555556</v>
      </c>
      <c r="K47" s="62">
        <f t="shared" si="30"/>
        <v>11.097604444444443</v>
      </c>
      <c r="L47" s="62">
        <f t="shared" si="30"/>
        <v>13.754413333333332</v>
      </c>
      <c r="M47" s="62">
        <f t="shared" si="30"/>
        <v>20.970182222222206</v>
      </c>
      <c r="N47" s="62">
        <f t="shared" si="30"/>
        <v>12.927391111111106</v>
      </c>
      <c r="O47" s="62">
        <f t="shared" si="30"/>
        <v>0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70"/>
    </row>
    <row r="48" spans="4:31" ht="12.75">
      <c r="D48" s="68">
        <f t="shared" si="25"/>
        <v>29.693715999999995</v>
      </c>
      <c r="F48" s="69">
        <f t="shared" si="26"/>
        <v>10</v>
      </c>
      <c r="G48" s="62">
        <f aca="true" t="shared" si="31" ref="G48:P48">+G36-$P$37*G35</f>
        <v>8.461987999999998</v>
      </c>
      <c r="H48" s="62">
        <f t="shared" si="31"/>
        <v>15.621415999999996</v>
      </c>
      <c r="I48" s="62">
        <f t="shared" si="31"/>
        <v>14.174644</v>
      </c>
      <c r="J48" s="62">
        <f t="shared" si="31"/>
        <v>16.682072000000005</v>
      </c>
      <c r="K48" s="62">
        <f t="shared" si="31"/>
        <v>17.328699999999998</v>
      </c>
      <c r="L48" s="62">
        <f t="shared" si="31"/>
        <v>21.231728000000004</v>
      </c>
      <c r="M48" s="62">
        <f t="shared" si="31"/>
        <v>29.693715999999995</v>
      </c>
      <c r="N48" s="62">
        <f t="shared" si="31"/>
        <v>22.897143999999997</v>
      </c>
      <c r="O48" s="62">
        <f t="shared" si="31"/>
        <v>11.215971999999994</v>
      </c>
      <c r="P48" s="62">
        <f t="shared" si="31"/>
        <v>0</v>
      </c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70"/>
    </row>
    <row r="49" spans="4:31" ht="12.75">
      <c r="D49" s="68">
        <f t="shared" si="25"/>
        <v>26.173843636363628</v>
      </c>
      <c r="F49" s="69">
        <f t="shared" si="26"/>
        <v>11</v>
      </c>
      <c r="G49" s="62">
        <f aca="true" t="shared" si="32" ref="G49:Q49">+G36-$Q$37*G35</f>
        <v>7.959149090909088</v>
      </c>
      <c r="H49" s="62">
        <f t="shared" si="32"/>
        <v>14.615738181818177</v>
      </c>
      <c r="I49" s="62">
        <f t="shared" si="32"/>
        <v>12.666127272727266</v>
      </c>
      <c r="J49" s="62">
        <f t="shared" si="32"/>
        <v>14.670716363636366</v>
      </c>
      <c r="K49" s="62">
        <f t="shared" si="32"/>
        <v>14.814505454545454</v>
      </c>
      <c r="L49" s="62">
        <f t="shared" si="32"/>
        <v>18.214694545454535</v>
      </c>
      <c r="M49" s="62">
        <f t="shared" si="32"/>
        <v>26.173843636363628</v>
      </c>
      <c r="N49" s="62">
        <f t="shared" si="32"/>
        <v>18.87443272727272</v>
      </c>
      <c r="O49" s="62">
        <f t="shared" si="32"/>
        <v>6.690421818181804</v>
      </c>
      <c r="P49" s="62">
        <f t="shared" si="32"/>
        <v>-5.028389090909101</v>
      </c>
      <c r="Q49" s="62">
        <f t="shared" si="32"/>
        <v>0</v>
      </c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70"/>
    </row>
    <row r="50" spans="4:31" ht="12.75">
      <c r="D50" s="68">
        <f t="shared" si="25"/>
        <v>23.240616666666668</v>
      </c>
      <c r="F50" s="69">
        <f t="shared" si="26"/>
        <v>12</v>
      </c>
      <c r="G50" s="62">
        <f aca="true" t="shared" si="33" ref="G50:R50">+G36-$R$37*G35</f>
        <v>7.540116666666666</v>
      </c>
      <c r="H50" s="62">
        <f t="shared" si="33"/>
        <v>13.777673333333333</v>
      </c>
      <c r="I50" s="62">
        <f t="shared" si="33"/>
        <v>11.409030000000001</v>
      </c>
      <c r="J50" s="62">
        <f t="shared" si="33"/>
        <v>12.994586666666677</v>
      </c>
      <c r="K50" s="62">
        <f t="shared" si="33"/>
        <v>12.719343333333342</v>
      </c>
      <c r="L50" s="62">
        <f t="shared" si="33"/>
        <v>15.700500000000005</v>
      </c>
      <c r="M50" s="62">
        <f t="shared" si="33"/>
        <v>23.240616666666668</v>
      </c>
      <c r="N50" s="62">
        <f t="shared" si="33"/>
        <v>15.522173333333342</v>
      </c>
      <c r="O50" s="62">
        <f t="shared" si="33"/>
        <v>2.9191300000000098</v>
      </c>
      <c r="P50" s="62">
        <f t="shared" si="33"/>
        <v>-9.218713333333326</v>
      </c>
      <c r="Q50" s="62">
        <f t="shared" si="33"/>
        <v>-4.609356666666656</v>
      </c>
      <c r="R50" s="62">
        <f t="shared" si="33"/>
        <v>0</v>
      </c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70"/>
    </row>
    <row r="51" spans="4:31" ht="12.75">
      <c r="D51" s="68">
        <f t="shared" si="25"/>
        <v>27.396701538461514</v>
      </c>
      <c r="F51" s="69">
        <f t="shared" si="26"/>
        <v>13</v>
      </c>
      <c r="G51" s="62">
        <f aca="true" t="shared" si="34" ref="G51:S51">+G36-$S$37*G35</f>
        <v>8.133843076923073</v>
      </c>
      <c r="H51" s="62">
        <f t="shared" si="34"/>
        <v>14.965126153846146</v>
      </c>
      <c r="I51" s="62">
        <f t="shared" si="34"/>
        <v>13.19020923076922</v>
      </c>
      <c r="J51" s="62">
        <f t="shared" si="34"/>
        <v>15.369492307692305</v>
      </c>
      <c r="K51" s="62">
        <f t="shared" si="34"/>
        <v>15.687975384615378</v>
      </c>
      <c r="L51" s="62">
        <f t="shared" si="34"/>
        <v>19.262858461538443</v>
      </c>
      <c r="M51" s="62">
        <f t="shared" si="34"/>
        <v>27.396701538461514</v>
      </c>
      <c r="N51" s="62">
        <f t="shared" si="34"/>
        <v>20.271984615384596</v>
      </c>
      <c r="O51" s="62">
        <f t="shared" si="34"/>
        <v>8.262667692307673</v>
      </c>
      <c r="P51" s="62">
        <f t="shared" si="34"/>
        <v>-3.2814492307692547</v>
      </c>
      <c r="Q51" s="62">
        <f t="shared" si="34"/>
        <v>1.9216338461538385</v>
      </c>
      <c r="R51" s="62">
        <f t="shared" si="34"/>
        <v>7.124716923076875</v>
      </c>
      <c r="S51" s="62">
        <f t="shared" si="34"/>
        <v>0</v>
      </c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70"/>
    </row>
    <row r="52" spans="4:31" ht="12.75">
      <c r="D52" s="68">
        <f t="shared" si="25"/>
        <v>28.958699999999993</v>
      </c>
      <c r="F52" s="69">
        <f t="shared" si="26"/>
        <v>14</v>
      </c>
      <c r="G52" s="62">
        <f aca="true" t="shared" si="35" ref="G52:T52">+G36-$T$37*G35</f>
        <v>8.356985714285713</v>
      </c>
      <c r="H52" s="62">
        <f t="shared" si="35"/>
        <v>15.411411428571427</v>
      </c>
      <c r="I52" s="62">
        <f t="shared" si="35"/>
        <v>13.859637142857139</v>
      </c>
      <c r="J52" s="62">
        <f t="shared" si="35"/>
        <v>16.262062857142865</v>
      </c>
      <c r="K52" s="62">
        <f t="shared" si="35"/>
        <v>16.80368857142858</v>
      </c>
      <c r="L52" s="62">
        <f t="shared" si="35"/>
        <v>20.60171428571428</v>
      </c>
      <c r="M52" s="62">
        <f t="shared" si="35"/>
        <v>28.958699999999993</v>
      </c>
      <c r="N52" s="62">
        <f t="shared" si="35"/>
        <v>22.057125714285718</v>
      </c>
      <c r="O52" s="62">
        <f t="shared" si="35"/>
        <v>10.270951428571436</v>
      </c>
      <c r="P52" s="62">
        <f t="shared" si="35"/>
        <v>-1.0500228571428494</v>
      </c>
      <c r="Q52" s="62">
        <f t="shared" si="35"/>
        <v>4.376202857142886</v>
      </c>
      <c r="R52" s="62">
        <f t="shared" si="35"/>
        <v>9.80242857142855</v>
      </c>
      <c r="S52" s="62">
        <f t="shared" si="35"/>
        <v>2.9008542857143027</v>
      </c>
      <c r="T52" s="62">
        <f t="shared" si="35"/>
        <v>0</v>
      </c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70"/>
    </row>
    <row r="53" spans="4:31" ht="12.75">
      <c r="D53" s="68">
        <f t="shared" si="25"/>
        <v>29.357221333333328</v>
      </c>
      <c r="F53" s="69">
        <f t="shared" si="26"/>
        <v>15</v>
      </c>
      <c r="G53" s="62">
        <f aca="true" t="shared" si="36" ref="G53:U53">+G36-$U$37*G35</f>
        <v>8.413917333333332</v>
      </c>
      <c r="H53" s="62">
        <f t="shared" si="36"/>
        <v>15.525274666666665</v>
      </c>
      <c r="I53" s="62">
        <f t="shared" si="36"/>
        <v>14.030431999999998</v>
      </c>
      <c r="J53" s="62">
        <f t="shared" si="36"/>
        <v>16.48978933333334</v>
      </c>
      <c r="K53" s="62">
        <f t="shared" si="36"/>
        <v>17.088346666666673</v>
      </c>
      <c r="L53" s="62">
        <f t="shared" si="36"/>
        <v>20.943303999999998</v>
      </c>
      <c r="M53" s="62">
        <f t="shared" si="36"/>
        <v>29.357221333333328</v>
      </c>
      <c r="N53" s="62">
        <f t="shared" si="36"/>
        <v>22.51257866666667</v>
      </c>
      <c r="O53" s="62">
        <f t="shared" si="36"/>
        <v>10.783336000000006</v>
      </c>
      <c r="P53" s="62">
        <f t="shared" si="36"/>
        <v>-0.48070666666666284</v>
      </c>
      <c r="Q53" s="62">
        <f t="shared" si="36"/>
        <v>5.002450666666675</v>
      </c>
      <c r="R53" s="62">
        <f t="shared" si="36"/>
        <v>10.485607999999985</v>
      </c>
      <c r="S53" s="62">
        <f t="shared" si="36"/>
        <v>3.640965333333355</v>
      </c>
      <c r="T53" s="62">
        <f t="shared" si="36"/>
        <v>0.7970426666666697</v>
      </c>
      <c r="U53" s="62">
        <f t="shared" si="36"/>
        <v>0</v>
      </c>
      <c r="V53" s="62"/>
      <c r="W53" s="62"/>
      <c r="X53" s="62"/>
      <c r="Y53" s="62"/>
      <c r="Z53" s="62"/>
      <c r="AA53" s="62"/>
      <c r="AB53" s="62"/>
      <c r="AC53" s="62"/>
      <c r="AD53" s="62"/>
      <c r="AE53" s="70"/>
    </row>
    <row r="54" spans="4:31" ht="12.75">
      <c r="D54" s="68">
        <f t="shared" si="25"/>
        <v>32.7588025</v>
      </c>
      <c r="F54" s="69">
        <f t="shared" si="26"/>
        <v>16</v>
      </c>
      <c r="G54" s="62">
        <f aca="true" t="shared" si="37" ref="G54:V54">+G36-$V$37*G35</f>
        <v>8.8998575</v>
      </c>
      <c r="H54" s="62">
        <f t="shared" si="37"/>
        <v>16.497155</v>
      </c>
      <c r="I54" s="62">
        <f t="shared" si="37"/>
        <v>15.488252500000002</v>
      </c>
      <c r="J54" s="62">
        <f t="shared" si="37"/>
        <v>18.43355000000001</v>
      </c>
      <c r="K54" s="62">
        <f t="shared" si="37"/>
        <v>19.51804750000001</v>
      </c>
      <c r="L54" s="62">
        <f t="shared" si="37"/>
        <v>23.858945000000006</v>
      </c>
      <c r="M54" s="62">
        <f t="shared" si="37"/>
        <v>32.7588025</v>
      </c>
      <c r="N54" s="62">
        <f t="shared" si="37"/>
        <v>26.40010000000001</v>
      </c>
      <c r="O54" s="62">
        <f t="shared" si="37"/>
        <v>15.15679750000001</v>
      </c>
      <c r="P54" s="62">
        <f t="shared" si="37"/>
        <v>4.3786950000000076</v>
      </c>
      <c r="Q54" s="62">
        <f t="shared" si="37"/>
        <v>10.347792500000025</v>
      </c>
      <c r="R54" s="62">
        <f t="shared" si="37"/>
        <v>16.31689</v>
      </c>
      <c r="S54" s="62">
        <f t="shared" si="37"/>
        <v>9.958187500000037</v>
      </c>
      <c r="T54" s="62">
        <f t="shared" si="37"/>
        <v>7.600205000000017</v>
      </c>
      <c r="U54" s="62">
        <f t="shared" si="37"/>
        <v>7.289102500000013</v>
      </c>
      <c r="V54" s="62">
        <f t="shared" si="37"/>
        <v>0</v>
      </c>
      <c r="W54" s="62"/>
      <c r="X54" s="62"/>
      <c r="Y54" s="62"/>
      <c r="Z54" s="62"/>
      <c r="AA54" s="62"/>
      <c r="AB54" s="62"/>
      <c r="AC54" s="62"/>
      <c r="AD54" s="62"/>
      <c r="AE54" s="70"/>
    </row>
    <row r="55" spans="4:31" ht="12.75">
      <c r="D55" s="68">
        <f t="shared" si="25"/>
        <v>36.71796235294117</v>
      </c>
      <c r="F55" s="69">
        <f t="shared" si="26"/>
        <v>17</v>
      </c>
      <c r="G55" s="62">
        <f aca="true" t="shared" si="38" ref="G55:W55">+G36-$W$37*G35</f>
        <v>9.46545176470588</v>
      </c>
      <c r="H55" s="62">
        <f t="shared" si="38"/>
        <v>17.62834352941176</v>
      </c>
      <c r="I55" s="62">
        <f t="shared" si="38"/>
        <v>17.185035294117647</v>
      </c>
      <c r="J55" s="62">
        <f t="shared" si="38"/>
        <v>20.695927058823536</v>
      </c>
      <c r="K55" s="62">
        <f t="shared" si="38"/>
        <v>22.346018823529413</v>
      </c>
      <c r="L55" s="62">
        <f t="shared" si="38"/>
        <v>27.252510588235296</v>
      </c>
      <c r="M55" s="62">
        <f t="shared" si="38"/>
        <v>36.71796235294117</v>
      </c>
      <c r="N55" s="62">
        <f t="shared" si="38"/>
        <v>30.924854117647058</v>
      </c>
      <c r="O55" s="62">
        <f t="shared" si="38"/>
        <v>20.24714588235294</v>
      </c>
      <c r="P55" s="62">
        <f t="shared" si="38"/>
        <v>10.034637647058815</v>
      </c>
      <c r="Q55" s="62">
        <f t="shared" si="38"/>
        <v>16.569329411764713</v>
      </c>
      <c r="R55" s="62">
        <f t="shared" si="38"/>
        <v>23.10402117647058</v>
      </c>
      <c r="S55" s="62">
        <f t="shared" si="38"/>
        <v>17.310912941176497</v>
      </c>
      <c r="T55" s="62">
        <f t="shared" si="38"/>
        <v>15.518524705882356</v>
      </c>
      <c r="U55" s="62">
        <f t="shared" si="38"/>
        <v>15.773016470588232</v>
      </c>
      <c r="V55" s="62">
        <f t="shared" si="38"/>
        <v>9.049508235294098</v>
      </c>
      <c r="W55" s="62">
        <f t="shared" si="38"/>
        <v>0</v>
      </c>
      <c r="X55" s="62"/>
      <c r="Y55" s="62"/>
      <c r="Z55" s="62"/>
      <c r="AA55" s="62"/>
      <c r="AB55" s="62"/>
      <c r="AC55" s="62"/>
      <c r="AD55" s="62"/>
      <c r="AE55" s="70"/>
    </row>
    <row r="56" spans="4:31" ht="12.75">
      <c r="D56" s="68">
        <f t="shared" si="25"/>
        <v>38.211011111111105</v>
      </c>
      <c r="F56" s="69">
        <f t="shared" si="26"/>
        <v>18</v>
      </c>
      <c r="G56" s="62">
        <f aca="true" t="shared" si="39" ref="G56:X56">+G36-$X$37*G35</f>
        <v>9.678744444444444</v>
      </c>
      <c r="H56" s="62">
        <f t="shared" si="39"/>
        <v>18.054928888888888</v>
      </c>
      <c r="I56" s="62">
        <f t="shared" si="39"/>
        <v>17.824913333333335</v>
      </c>
      <c r="J56" s="62">
        <f t="shared" si="39"/>
        <v>21.54909777777779</v>
      </c>
      <c r="K56" s="62">
        <f t="shared" si="39"/>
        <v>23.41248222222223</v>
      </c>
      <c r="L56" s="62">
        <f t="shared" si="39"/>
        <v>28.532266666666672</v>
      </c>
      <c r="M56" s="62">
        <f t="shared" si="39"/>
        <v>38.211011111111105</v>
      </c>
      <c r="N56" s="62">
        <f t="shared" si="39"/>
        <v>32.631195555555564</v>
      </c>
      <c r="O56" s="62">
        <f t="shared" si="39"/>
        <v>22.166780000000017</v>
      </c>
      <c r="P56" s="62">
        <f t="shared" si="39"/>
        <v>12.167564444444452</v>
      </c>
      <c r="Q56" s="62">
        <f t="shared" si="39"/>
        <v>18.915548888888907</v>
      </c>
      <c r="R56" s="62">
        <f t="shared" si="39"/>
        <v>25.663533333333334</v>
      </c>
      <c r="S56" s="62">
        <f t="shared" si="39"/>
        <v>20.08371777777782</v>
      </c>
      <c r="T56" s="62">
        <f t="shared" si="39"/>
        <v>18.504622222222224</v>
      </c>
      <c r="U56" s="62">
        <f t="shared" si="39"/>
        <v>18.97240666666667</v>
      </c>
      <c r="V56" s="62">
        <f t="shared" si="39"/>
        <v>12.46219111111111</v>
      </c>
      <c r="W56" s="62">
        <f t="shared" si="39"/>
        <v>3.625975555555584</v>
      </c>
      <c r="X56" s="62">
        <f t="shared" si="39"/>
        <v>0</v>
      </c>
      <c r="Y56" s="62"/>
      <c r="Z56" s="62"/>
      <c r="AA56" s="62"/>
      <c r="AB56" s="62"/>
      <c r="AC56" s="62"/>
      <c r="AD56" s="62"/>
      <c r="AE56" s="70"/>
    </row>
    <row r="57" spans="4:31" ht="12.75">
      <c r="D57" s="68">
        <f t="shared" si="25"/>
        <v>36.01627368421053</v>
      </c>
      <c r="F57" s="69">
        <f t="shared" si="26"/>
        <v>19</v>
      </c>
      <c r="G57" s="62">
        <f aca="true" t="shared" si="40" ref="G57:Y57">+G36-$Y$37*G35</f>
        <v>9.36521052631579</v>
      </c>
      <c r="H57" s="62">
        <f t="shared" si="40"/>
        <v>17.42786105263158</v>
      </c>
      <c r="I57" s="62">
        <f t="shared" si="40"/>
        <v>16.884311578947376</v>
      </c>
      <c r="J57" s="62">
        <f t="shared" si="40"/>
        <v>20.294962105263174</v>
      </c>
      <c r="K57" s="62">
        <f t="shared" si="40"/>
        <v>21.84481263157896</v>
      </c>
      <c r="L57" s="62">
        <f t="shared" si="40"/>
        <v>26.651063157894754</v>
      </c>
      <c r="M57" s="62">
        <f t="shared" si="40"/>
        <v>36.01627368421053</v>
      </c>
      <c r="N57" s="62">
        <f t="shared" si="40"/>
        <v>30.122924210526335</v>
      </c>
      <c r="O57" s="62">
        <f t="shared" si="40"/>
        <v>19.344974736842133</v>
      </c>
      <c r="P57" s="62">
        <f t="shared" si="40"/>
        <v>9.032225263157912</v>
      </c>
      <c r="Q57" s="62">
        <f t="shared" si="40"/>
        <v>15.466675789473726</v>
      </c>
      <c r="R57" s="62">
        <f t="shared" si="40"/>
        <v>21.901126315789497</v>
      </c>
      <c r="S57" s="62">
        <f t="shared" si="40"/>
        <v>16.00777684210533</v>
      </c>
      <c r="T57" s="62">
        <f t="shared" si="40"/>
        <v>14.115147368421077</v>
      </c>
      <c r="U57" s="62">
        <f t="shared" si="40"/>
        <v>14.26939789473687</v>
      </c>
      <c r="V57" s="62">
        <f t="shared" si="40"/>
        <v>7.445648421052653</v>
      </c>
      <c r="W57" s="62">
        <f t="shared" si="40"/>
        <v>-1.704101052631529</v>
      </c>
      <c r="X57" s="62">
        <f t="shared" si="40"/>
        <v>-5.64361052631574</v>
      </c>
      <c r="Y57" s="62">
        <f t="shared" si="40"/>
        <v>0</v>
      </c>
      <c r="Z57" s="62"/>
      <c r="AA57" s="62"/>
      <c r="AB57" s="62"/>
      <c r="AC57" s="62"/>
      <c r="AD57" s="62"/>
      <c r="AE57" s="70"/>
    </row>
    <row r="58" spans="4:31" ht="12.75">
      <c r="D58" s="68">
        <f t="shared" si="25"/>
        <v>35.962286000000006</v>
      </c>
      <c r="F58" s="69">
        <f t="shared" si="26"/>
        <v>20</v>
      </c>
      <c r="G58" s="62">
        <f aca="true" t="shared" si="41" ref="G58:Z58">+G36-$Z$37*G35</f>
        <v>9.357498</v>
      </c>
      <c r="H58" s="62">
        <f t="shared" si="41"/>
        <v>17.412436</v>
      </c>
      <c r="I58" s="62">
        <f t="shared" si="41"/>
        <v>16.861174000000005</v>
      </c>
      <c r="J58" s="62">
        <f t="shared" si="41"/>
        <v>20.26411200000001</v>
      </c>
      <c r="K58" s="62">
        <f t="shared" si="41"/>
        <v>21.806250000000006</v>
      </c>
      <c r="L58" s="62">
        <f t="shared" si="41"/>
        <v>26.604788000000013</v>
      </c>
      <c r="M58" s="62">
        <f t="shared" si="41"/>
        <v>35.962286000000006</v>
      </c>
      <c r="N58" s="62">
        <f t="shared" si="41"/>
        <v>30.06122400000001</v>
      </c>
      <c r="O58" s="62">
        <f t="shared" si="41"/>
        <v>19.275562000000008</v>
      </c>
      <c r="P58" s="62">
        <f t="shared" si="41"/>
        <v>8.955100000000002</v>
      </c>
      <c r="Q58" s="62">
        <f t="shared" si="41"/>
        <v>15.38183800000003</v>
      </c>
      <c r="R58" s="62">
        <f t="shared" si="41"/>
        <v>21.808576000000016</v>
      </c>
      <c r="S58" s="62">
        <f t="shared" si="41"/>
        <v>15.907514000000049</v>
      </c>
      <c r="T58" s="62">
        <f t="shared" si="41"/>
        <v>14.007172000000025</v>
      </c>
      <c r="U58" s="62">
        <f t="shared" si="41"/>
        <v>14.153710000000018</v>
      </c>
      <c r="V58" s="62">
        <f t="shared" si="41"/>
        <v>7.322248000000002</v>
      </c>
      <c r="W58" s="62">
        <f t="shared" si="41"/>
        <v>-1.8352139999999793</v>
      </c>
      <c r="X58" s="62">
        <f t="shared" si="41"/>
        <v>-5.78243599999999</v>
      </c>
      <c r="Y58" s="62">
        <f t="shared" si="41"/>
        <v>-0.14653800000002093</v>
      </c>
      <c r="Z58" s="62">
        <f t="shared" si="41"/>
        <v>0</v>
      </c>
      <c r="AA58" s="62"/>
      <c r="AB58" s="62"/>
      <c r="AC58" s="62"/>
      <c r="AD58" s="62"/>
      <c r="AE58" s="70"/>
    </row>
    <row r="59" spans="4:31" ht="12.75">
      <c r="D59" s="68">
        <f t="shared" si="25"/>
        <v>38.23944</v>
      </c>
      <c r="F59" s="69">
        <f t="shared" si="26"/>
        <v>21</v>
      </c>
      <c r="G59" s="62">
        <f aca="true" t="shared" si="42" ref="G59:AA59">+G36-$AA$37*G35</f>
        <v>9.682805714285713</v>
      </c>
      <c r="H59" s="62">
        <f t="shared" si="42"/>
        <v>18.063051428571427</v>
      </c>
      <c r="I59" s="62">
        <f t="shared" si="42"/>
        <v>17.837097142857147</v>
      </c>
      <c r="J59" s="62">
        <f t="shared" si="42"/>
        <v>21.565342857142866</v>
      </c>
      <c r="K59" s="62">
        <f t="shared" si="42"/>
        <v>23.432788571428574</v>
      </c>
      <c r="L59" s="62">
        <f t="shared" si="42"/>
        <v>28.556634285714296</v>
      </c>
      <c r="M59" s="62">
        <f t="shared" si="42"/>
        <v>38.23944</v>
      </c>
      <c r="N59" s="62">
        <f t="shared" si="42"/>
        <v>32.66368571428572</v>
      </c>
      <c r="O59" s="62">
        <f t="shared" si="42"/>
        <v>22.20333142857143</v>
      </c>
      <c r="P59" s="62">
        <f t="shared" si="42"/>
        <v>12.208177142857139</v>
      </c>
      <c r="Q59" s="62">
        <f t="shared" si="42"/>
        <v>18.96022285714288</v>
      </c>
      <c r="R59" s="62">
        <f t="shared" si="42"/>
        <v>25.71226857142858</v>
      </c>
      <c r="S59" s="62">
        <f t="shared" si="42"/>
        <v>20.136514285714327</v>
      </c>
      <c r="T59" s="62">
        <f t="shared" si="42"/>
        <v>18.561480000000017</v>
      </c>
      <c r="U59" s="62">
        <f t="shared" si="42"/>
        <v>19.033325714285724</v>
      </c>
      <c r="V59" s="62">
        <f t="shared" si="42"/>
        <v>12.527171428571421</v>
      </c>
      <c r="W59" s="62">
        <f t="shared" si="42"/>
        <v>3.6950171428571537</v>
      </c>
      <c r="X59" s="62">
        <f t="shared" si="42"/>
        <v>0.07310285714285669</v>
      </c>
      <c r="Y59" s="62">
        <f t="shared" si="42"/>
        <v>6.034308571428539</v>
      </c>
      <c r="Z59" s="62">
        <f t="shared" si="42"/>
        <v>6.506154285714274</v>
      </c>
      <c r="AA59" s="62">
        <f t="shared" si="42"/>
        <v>0</v>
      </c>
      <c r="AB59" s="62"/>
      <c r="AC59" s="62"/>
      <c r="AD59" s="62"/>
      <c r="AE59" s="70"/>
    </row>
    <row r="60" spans="4:31" ht="12.75">
      <c r="D60" s="68">
        <f t="shared" si="25"/>
        <v>41.049670909090906</v>
      </c>
      <c r="F60" s="69">
        <f t="shared" si="26"/>
        <v>22</v>
      </c>
      <c r="G60" s="62">
        <f aca="true" t="shared" si="43" ref="G60:AB60">+G36-$AB$37*G35</f>
        <v>10.08426727272727</v>
      </c>
      <c r="H60" s="62">
        <f t="shared" si="43"/>
        <v>18.86597454545454</v>
      </c>
      <c r="I60" s="62">
        <f t="shared" si="43"/>
        <v>19.041481818181815</v>
      </c>
      <c r="J60" s="62">
        <f t="shared" si="43"/>
        <v>23.171189090909095</v>
      </c>
      <c r="K60" s="62">
        <f t="shared" si="43"/>
        <v>25.440096363636364</v>
      </c>
      <c r="L60" s="62">
        <f t="shared" si="43"/>
        <v>30.965403636363632</v>
      </c>
      <c r="M60" s="62">
        <f t="shared" si="43"/>
        <v>41.049670909090906</v>
      </c>
      <c r="N60" s="62">
        <f t="shared" si="43"/>
        <v>35.87537818181818</v>
      </c>
      <c r="O60" s="62">
        <f t="shared" si="43"/>
        <v>25.816485454545443</v>
      </c>
      <c r="P60" s="62">
        <f t="shared" si="43"/>
        <v>16.22279272727272</v>
      </c>
      <c r="Q60" s="62">
        <f t="shared" si="43"/>
        <v>23.376300000000015</v>
      </c>
      <c r="R60" s="62">
        <f t="shared" si="43"/>
        <v>30.529807272727254</v>
      </c>
      <c r="S60" s="62">
        <f t="shared" si="43"/>
        <v>25.355514545454554</v>
      </c>
      <c r="T60" s="62">
        <f t="shared" si="43"/>
        <v>24.181941818181826</v>
      </c>
      <c r="U60" s="62">
        <f t="shared" si="43"/>
        <v>25.055249090909086</v>
      </c>
      <c r="V60" s="62">
        <f t="shared" si="43"/>
        <v>18.950556363636338</v>
      </c>
      <c r="W60" s="62">
        <f t="shared" si="43"/>
        <v>10.519863636363624</v>
      </c>
      <c r="X60" s="62">
        <f t="shared" si="43"/>
        <v>7.299410909090881</v>
      </c>
      <c r="Y60" s="62">
        <f t="shared" si="43"/>
        <v>13.662078181818146</v>
      </c>
      <c r="Z60" s="62">
        <f t="shared" si="43"/>
        <v>14.535385454545434</v>
      </c>
      <c r="AA60" s="62">
        <f t="shared" si="43"/>
        <v>8.430692727272685</v>
      </c>
      <c r="AB60" s="62">
        <f t="shared" si="43"/>
        <v>0</v>
      </c>
      <c r="AC60" s="62"/>
      <c r="AD60" s="62"/>
      <c r="AE60" s="70"/>
    </row>
    <row r="61" spans="4:31" ht="12.75">
      <c r="D61" s="68">
        <f t="shared" si="25"/>
        <v>44.153547826086935</v>
      </c>
      <c r="F61" s="69">
        <f t="shared" si="26"/>
        <v>23</v>
      </c>
      <c r="G61" s="62">
        <f aca="true" t="shared" si="44" ref="G61:AC61">+G36-$AC$37*G35</f>
        <v>10.527678260869562</v>
      </c>
      <c r="H61" s="62">
        <f t="shared" si="44"/>
        <v>19.752796521739125</v>
      </c>
      <c r="I61" s="62">
        <f t="shared" si="44"/>
        <v>20.37171478260869</v>
      </c>
      <c r="J61" s="62">
        <f t="shared" si="44"/>
        <v>24.944833043478262</v>
      </c>
      <c r="K61" s="62">
        <f t="shared" si="44"/>
        <v>27.65715130434782</v>
      </c>
      <c r="L61" s="62">
        <f t="shared" si="44"/>
        <v>33.625869565217386</v>
      </c>
      <c r="M61" s="62">
        <f t="shared" si="44"/>
        <v>44.153547826086935</v>
      </c>
      <c r="N61" s="62">
        <f t="shared" si="44"/>
        <v>39.42266608695651</v>
      </c>
      <c r="O61" s="62">
        <f t="shared" si="44"/>
        <v>29.80718434782608</v>
      </c>
      <c r="P61" s="62">
        <f t="shared" si="44"/>
        <v>20.65690260869563</v>
      </c>
      <c r="Q61" s="62">
        <f t="shared" si="44"/>
        <v>28.253820869565217</v>
      </c>
      <c r="R61" s="62">
        <f t="shared" si="44"/>
        <v>35.85073913043476</v>
      </c>
      <c r="S61" s="62">
        <f t="shared" si="44"/>
        <v>31.11985739130435</v>
      </c>
      <c r="T61" s="62">
        <f t="shared" si="44"/>
        <v>30.389695652173884</v>
      </c>
      <c r="U61" s="62">
        <f t="shared" si="44"/>
        <v>31.706413913043463</v>
      </c>
      <c r="V61" s="62">
        <f t="shared" si="44"/>
        <v>26.045132173913004</v>
      </c>
      <c r="W61" s="62">
        <f t="shared" si="44"/>
        <v>18.05785043478258</v>
      </c>
      <c r="X61" s="62">
        <f t="shared" si="44"/>
        <v>15.280808695652155</v>
      </c>
      <c r="Y61" s="62">
        <f t="shared" si="44"/>
        <v>22.08688695652168</v>
      </c>
      <c r="Z61" s="62">
        <f t="shared" si="44"/>
        <v>23.40360521739126</v>
      </c>
      <c r="AA61" s="62">
        <f t="shared" si="44"/>
        <v>17.74232347826083</v>
      </c>
      <c r="AB61" s="62">
        <f t="shared" si="44"/>
        <v>9.755041739130405</v>
      </c>
      <c r="AC61" s="62">
        <f t="shared" si="44"/>
        <v>0</v>
      </c>
      <c r="AD61" s="62"/>
      <c r="AE61" s="70"/>
    </row>
    <row r="62" spans="4:31" ht="12.75">
      <c r="D62" s="68">
        <f t="shared" si="25"/>
        <v>47.09374666666666</v>
      </c>
      <c r="F62" s="69">
        <f t="shared" si="26"/>
        <v>24</v>
      </c>
      <c r="G62" s="62">
        <f aca="true" t="shared" si="45" ref="G62:AD62">+G36-G35*$AD$37</f>
        <v>10.947706666666665</v>
      </c>
      <c r="H62" s="62">
        <f t="shared" si="45"/>
        <v>20.59285333333333</v>
      </c>
      <c r="I62" s="62">
        <f t="shared" si="45"/>
        <v>21.6318</v>
      </c>
      <c r="J62" s="62">
        <f t="shared" si="45"/>
        <v>26.624946666666673</v>
      </c>
      <c r="K62" s="62">
        <f t="shared" si="45"/>
        <v>29.757293333333337</v>
      </c>
      <c r="L62" s="62">
        <f t="shared" si="45"/>
        <v>36.14604</v>
      </c>
      <c r="M62" s="62">
        <f t="shared" si="45"/>
        <v>47.09374666666666</v>
      </c>
      <c r="N62" s="62">
        <f t="shared" si="45"/>
        <v>42.782893333333334</v>
      </c>
      <c r="O62" s="62">
        <f t="shared" si="45"/>
        <v>33.58744</v>
      </c>
      <c r="P62" s="62">
        <f t="shared" si="45"/>
        <v>24.857186666666664</v>
      </c>
      <c r="Q62" s="62">
        <f t="shared" si="45"/>
        <v>32.87413333333335</v>
      </c>
      <c r="R62" s="62">
        <f t="shared" si="45"/>
        <v>40.89107999999999</v>
      </c>
      <c r="S62" s="62">
        <f t="shared" si="45"/>
        <v>36.580226666666675</v>
      </c>
      <c r="T62" s="62">
        <f t="shared" si="45"/>
        <v>36.270093333333335</v>
      </c>
      <c r="U62" s="62">
        <f t="shared" si="45"/>
        <v>38.00684000000001</v>
      </c>
      <c r="V62" s="62">
        <f t="shared" si="45"/>
        <v>32.76558666666665</v>
      </c>
      <c r="W62" s="62">
        <f t="shared" si="45"/>
        <v>25.198333333333323</v>
      </c>
      <c r="X62" s="62">
        <f t="shared" si="45"/>
        <v>22.841319999999996</v>
      </c>
      <c r="Y62" s="62">
        <f t="shared" si="45"/>
        <v>30.06742666666665</v>
      </c>
      <c r="Z62" s="62">
        <f t="shared" si="45"/>
        <v>31.804173333333324</v>
      </c>
      <c r="AA62" s="62">
        <f t="shared" si="45"/>
        <v>26.562919999999963</v>
      </c>
      <c r="AB62" s="62">
        <f t="shared" si="45"/>
        <v>18.995666666666665</v>
      </c>
      <c r="AC62" s="62">
        <f t="shared" si="45"/>
        <v>9.660653333333386</v>
      </c>
      <c r="AD62" s="62">
        <f t="shared" si="45"/>
        <v>0</v>
      </c>
      <c r="AE62" s="70"/>
    </row>
    <row r="63" spans="6:31" ht="12.75">
      <c r="F63" s="70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70"/>
    </row>
    <row r="64" spans="6:31" ht="12.75">
      <c r="F64" s="70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70"/>
    </row>
  </sheetData>
  <sheetProtection/>
  <hyperlinks>
    <hyperlink ref="H2" r:id="rId1" display="(basé sur le fichier Dimensionnement en ECS)"/>
  </hyperlinks>
  <printOptions/>
  <pageMargins left="0.787401575" right="0.787401575" top="0.9842519690000001" bottom="0.9842519690000001" header="0.49212598450000006" footer="0.49212598450000006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j_claessens</dc:creator>
  <cp:keywords/>
  <dc:description/>
  <cp:lastModifiedBy>Sylvie Rouche</cp:lastModifiedBy>
  <cp:lastPrinted>2003-03-19T13:47:35Z</cp:lastPrinted>
  <dcterms:created xsi:type="dcterms:W3CDTF">2001-12-14T17:28:13Z</dcterms:created>
  <dcterms:modified xsi:type="dcterms:W3CDTF">2020-02-04T13:26:21Z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